
<file path=[Content_Types].xml><?xml version="1.0" encoding="utf-8"?>
<Types xmlns="http://schemas.openxmlformats.org/package/2006/content-types">
  <Default Extension="bin" ContentType="application/vnd.openxmlformats-officedocument.oleObject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printerSettings/printerSettings1.bin" ContentType="application/vnd.openxmlformats-officedocument.spreadsheetml.printerSettings"/>
  <Override PartName="/xl/drawings/drawing9.xml" ContentType="application/vnd.openxmlformats-officedocument.drawing+xml"/>
  <Override PartName="/xl/printerSettings/printerSettings2.bin" ContentType="application/vnd.openxmlformats-officedocument.spreadsheetml.printerSettings"/>
  <Override PartName="/xl/drawings/drawing10.xml" ContentType="application/vnd.openxmlformats-officedocument.drawing+xml"/>
  <Override PartName="/xl/printerSettings/printerSettings3.bin" ContentType="application/vnd.openxmlformats-officedocument.spreadsheetml.printerSettings"/>
  <Override PartName="/xl/drawings/drawing11.xml" ContentType="application/vnd.openxmlformats-officedocument.drawing+xml"/>
  <Override PartName="/xl/printerSettings/printerSettings4.bin" ContentType="application/vnd.openxmlformats-officedocument.spreadsheetml.printerSettings"/>
  <Override PartName="/xl/drawings/drawing12.xml" ContentType="application/vnd.openxmlformats-officedocument.drawing+xml"/>
  <Override PartName="/xl/printerSettings/printerSettings5.bin" ContentType="application/vnd.openxmlformats-officedocument.spreadsheetml.printerSettings"/>
  <Override PartName="/xl/drawings/drawing13.xml" ContentType="application/vnd.openxmlformats-officedocument.drawing+xml"/>
  <Override PartName="/xl/printerSettings/printerSettings6.bin" ContentType="application/vnd.openxmlformats-officedocument.spreadsheetml.printerSettings"/>
  <Override PartName="/xl/drawings/drawing14.xml" ContentType="application/vnd.openxmlformats-officedocument.drawing+xml"/>
  <Override PartName="/xl/printerSettings/printerSettings7.bin" ContentType="application/vnd.openxmlformats-officedocument.spreadsheetml.printerSettings"/>
  <Override PartName="/xl/drawings/drawing15.xml" ContentType="application/vnd.openxmlformats-officedocument.drawing+xml"/>
  <Override PartName="/xl/printerSettings/printerSettings8.bin" ContentType="application/vnd.openxmlformats-officedocument.spreadsheetml.printerSettings"/>
  <Override PartName="/xl/drawings/drawing16.xml" ContentType="application/vnd.openxmlformats-officedocument.drawing+xml"/>
  <Override PartName="/xl/printerSettings/printerSettings9.bin" ContentType="application/vnd.openxmlformats-officedocument.spreadsheetml.printerSettings"/>
  <Override PartName="/xl/drawings/drawing17.xml" ContentType="application/vnd.openxmlformats-officedocument.drawing+xml"/>
  <Override PartName="/xl/printerSettings/printerSettings10.bin" ContentType="application/vnd.openxmlformats-officedocument.spreadsheetml.printerSettings"/>
  <Override PartName="/xl/drawings/drawing18.xml" ContentType="application/vnd.openxmlformats-officedocument.drawing+xml"/>
  <Override PartName="/xl/printerSettings/printerSettings11.bin" ContentType="application/vnd.openxmlformats-officedocument.spreadsheetml.printerSettings"/>
  <Override PartName="/xl/drawings/drawing19.xml" ContentType="application/vnd.openxmlformats-officedocument.drawing+xml"/>
  <Override PartName="/xl/printerSettings/printerSettings12.bin" ContentType="application/vnd.openxmlformats-officedocument.spreadsheetml.printerSettings"/>
  <Override PartName="/xl/drawings/drawing20.xml" ContentType="application/vnd.openxmlformats-officedocument.drawing+xml"/>
  <Override PartName="/xl/printerSettings/printerSettings13.bin" ContentType="application/vnd.openxmlformats-officedocument.spreadsheetml.printerSettings"/>
  <Override PartName="/xl/drawings/drawing21.xml" ContentType="application/vnd.openxmlformats-officedocument.drawing+xml"/>
  <Override PartName="/xl/comments1.xml" ContentType="application/vnd.openxmlformats-officedocument.spreadsheetml.comments+xml"/>
  <Override PartName="/xl/printerSettings/printerSettings14.bin" ContentType="application/vnd.openxmlformats-officedocument.spreadsheetml.printerSettings"/>
  <Override PartName="/xl/drawings/drawing22.xml" ContentType="application/vnd.openxmlformats-officedocument.drawing+xml"/>
  <Override PartName="/xl/printerSettings/printerSettings15.bin" ContentType="application/vnd.openxmlformats-officedocument.spreadsheetml.printerSettings"/>
  <Override PartName="/xl/drawings/drawing23.xml" ContentType="application/vnd.openxmlformats-officedocument.drawing+xml"/>
  <Override PartName="/xl/comments2.xml" ContentType="application/vnd.openxmlformats-officedocument.spreadsheetml.comments+xml"/>
  <Override PartName="/xl/printerSettings/printerSettings16.bin" ContentType="application/vnd.openxmlformats-officedocument.spreadsheetml.printerSettings"/>
  <Override PartName="/xl/drawings/drawing24.xml" ContentType="application/vnd.openxmlformats-officedocument.drawing+xml"/>
  <Override PartName="/xl/printerSettings/printerSettings17.bin" ContentType="application/vnd.openxmlformats-officedocument.spreadsheetml.printerSettings"/>
  <Override PartName="/xl/drawings/drawing25.xml" ContentType="application/vnd.openxmlformats-officedocument.drawing+xml"/>
  <Override PartName="/xl/drawings/drawing26.xml" ContentType="application/vnd.openxmlformats-officedocument.drawing+xml"/>
  <Override PartName="/xl/printerSettings/printerSettings18.bin" ContentType="application/vnd.openxmlformats-officedocument.spreadsheetml.printerSettings"/>
  <Override PartName="/xl/drawings/drawing27.xml" ContentType="application/vnd.openxmlformats-officedocument.drawing+xml"/>
  <Override PartName="/xl/drawings/drawing28.xml" ContentType="application/vnd.openxmlformats-officedocument.drawing+xml"/>
  <Override PartName="/xl/printerSettings/printerSettings19.bin" ContentType="application/vnd.openxmlformats-officedocument.spreadsheetml.printerSettings"/>
  <Override PartName="/xl/drawings/drawing29.xml" ContentType="application/vnd.openxmlformats-officedocument.drawing+xml"/>
  <Override PartName="/xl/printerSettings/printerSettings20.bin" ContentType="application/vnd.openxmlformats-officedocument.spreadsheetml.printerSettings"/>
  <Override PartName="/xl/drawings/drawing30.xml" ContentType="application/vnd.openxmlformats-officedocument.drawing+xml"/>
  <Override PartName="/xl/comments3.xml" ContentType="application/vnd.openxmlformats-officedocument.spreadsheetml.comments+xml"/>
  <Override PartName="/xl/printerSettings/printerSettings21.bin" ContentType="application/vnd.openxmlformats-officedocument.spreadsheetml.printerSettings"/>
  <Override PartName="/xl/drawings/drawing31.xml" ContentType="application/vnd.openxmlformats-officedocument.drawing+xml"/>
  <Override PartName="/xl/comments4.xml" ContentType="application/vnd.openxmlformats-officedocument.spreadsheetml.comments+xml"/>
  <Override PartName="/xl/printerSettings/printerSettings22.bin" ContentType="application/vnd.openxmlformats-officedocument.spreadsheetml.printerSettings"/>
  <Override PartName="/xl/drawings/drawing32.xml" ContentType="application/vnd.openxmlformats-officedocument.drawing+xml"/>
  <Override PartName="/xl/drawings/drawing33.xml" ContentType="application/vnd.openxmlformats-officedocument.drawing+xml"/>
  <Override PartName="/xl/printerSettings/printerSettings23.bin" ContentType="application/vnd.openxmlformats-officedocument.spreadsheetml.printerSettings"/>
  <Override PartName="/xl/drawings/drawing34.xml" ContentType="application/vnd.openxmlformats-officedocument.drawing+xml"/>
  <Override PartName="/xl/printerSettings/printerSettings24.bin" ContentType="application/vnd.openxmlformats-officedocument.spreadsheetml.printerSettings"/>
  <Override PartName="/xl/drawings/drawing3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390" yWindow="345" windowWidth="19905" windowHeight="11700" tabRatio="851"/>
  </bookViews>
  <sheets>
    <sheet name="150 lb." sheetId="32" r:id="rId1"/>
    <sheet name="300 lb." sheetId="33" r:id="rId2"/>
    <sheet name="600 lb." sheetId="34" r:id="rId3"/>
    <sheet name="900 lb." sheetId="35" r:id="rId4"/>
    <sheet name="1500 lb." sheetId="38" r:id="rId5"/>
    <sheet name="900 lb. RJT" sheetId="36" r:id="rId6"/>
    <sheet name="1500 lb. RJT" sheetId="37" r:id="rId7"/>
    <sheet name="Screwed Fittings" sheetId="39" r:id="rId8"/>
    <sheet name="Weld-o-Lets" sheetId="40" r:id="rId9"/>
    <sheet name="W Shapes" sheetId="1" r:id="rId10"/>
    <sheet name="M Shapes" sheetId="2" r:id="rId11"/>
    <sheet name="S Shapes" sheetId="4" r:id="rId12"/>
    <sheet name="HP Shapes" sheetId="5" r:id="rId13"/>
    <sheet name="Channels" sheetId="7" r:id="rId14"/>
    <sheet name="MC Channels" sheetId="6" r:id="rId15"/>
    <sheet name="Angles" sheetId="8" r:id="rId16"/>
    <sheet name="W Tees" sheetId="9" r:id="rId17"/>
    <sheet name="S Tees" sheetId="10" r:id="rId18"/>
    <sheet name="Tubing" sheetId="11" r:id="rId19"/>
    <sheet name="Grating" sheetId="13" r:id="rId20"/>
    <sheet name="Bolts" sheetId="25" r:id="rId21"/>
    <sheet name="Girder wt" sheetId="14" r:id="rId22"/>
    <sheet name="Weights" sheetId="24" r:id="rId23"/>
    <sheet name="Brace Formulas" sheetId="15" r:id="rId24"/>
    <sheet name="Rt. Triang." sheetId="21" r:id="rId25"/>
    <sheet name="Oblique Triang." sheetId="22" r:id="rId26"/>
    <sheet name="Adding Calculator" sheetId="30" r:id="rId27"/>
    <sheet name="Ladders" sheetId="31" r:id="rId28"/>
    <sheet name="Stairs" sheetId="29" r:id="rId29"/>
    <sheet name="Vessel Platf." sheetId="28" r:id="rId30"/>
    <sheet name="Pipe Tables" sheetId="12" r:id="rId31"/>
    <sheet name="ELL. Head Dim" sheetId="27" r:id="rId32"/>
    <sheet name="Pipe Spans" sheetId="26" r:id="rId33"/>
    <sheet name="ELL's" sheetId="16" r:id="rId34"/>
    <sheet name="Tee's &amp; Reducers" sheetId="17" r:id="rId35"/>
    <sheet name="Flanges" sheetId="19" r:id="rId36"/>
    <sheet name="Flg Weights" sheetId="18" r:id="rId37"/>
  </sheets>
  <calcPr calcId="145621"/>
</workbook>
</file>

<file path=xl/calcChain.xml><?xml version="1.0" encoding="utf-8"?>
<calcChain xmlns="http://schemas.openxmlformats.org/spreadsheetml/2006/main">
  <c r="I8" i="30" l="1"/>
  <c r="K8" i="30"/>
  <c r="E8" i="30" s="1"/>
  <c r="Q8" i="30"/>
  <c r="R8" i="30"/>
  <c r="I9" i="30"/>
  <c r="K9" i="30"/>
  <c r="E9" i="30" s="1"/>
  <c r="Q9" i="30"/>
  <c r="R9" i="30"/>
  <c r="N9" i="30" s="1"/>
  <c r="I10" i="30"/>
  <c r="K10" i="30"/>
  <c r="E10" i="30" s="1"/>
  <c r="Q10" i="30"/>
  <c r="R10" i="30"/>
  <c r="N10" i="30" s="1"/>
  <c r="I11" i="30"/>
  <c r="K11" i="30"/>
  <c r="E11" i="30" s="1"/>
  <c r="Q11" i="30"/>
  <c r="R11" i="30"/>
  <c r="N11" i="30" s="1"/>
  <c r="I12" i="30"/>
  <c r="K12" i="30"/>
  <c r="E12" i="30" s="1"/>
  <c r="Q12" i="30"/>
  <c r="R12" i="30"/>
  <c r="N12" i="30" s="1"/>
  <c r="I13" i="30"/>
  <c r="K13" i="30"/>
  <c r="E13" i="30" s="1"/>
  <c r="Q13" i="30"/>
  <c r="R13" i="30"/>
  <c r="N13" i="30" s="1"/>
  <c r="I14" i="30"/>
  <c r="K14" i="30"/>
  <c r="E14" i="30" s="1"/>
  <c r="Q14" i="30"/>
  <c r="R14" i="30"/>
  <c r="N14" i="30" s="1"/>
  <c r="I15" i="30"/>
  <c r="K15" i="30"/>
  <c r="E15" i="30" s="1"/>
  <c r="Q15" i="30"/>
  <c r="R15" i="30"/>
  <c r="N15" i="30" s="1"/>
  <c r="I16" i="30"/>
  <c r="K16" i="30"/>
  <c r="E16" i="30" s="1"/>
  <c r="Q16" i="30"/>
  <c r="R16" i="30"/>
  <c r="N16" i="30" s="1"/>
  <c r="I17" i="30"/>
  <c r="K17" i="30"/>
  <c r="E17" i="30" s="1"/>
  <c r="Q17" i="30"/>
  <c r="R17" i="30"/>
  <c r="N17" i="30" s="1"/>
  <c r="I18" i="30"/>
  <c r="K18" i="30"/>
  <c r="E18" i="30" s="1"/>
  <c r="Q18" i="30"/>
  <c r="R18" i="30"/>
  <c r="N18" i="30" s="1"/>
  <c r="I19" i="30"/>
  <c r="K19" i="30" s="1"/>
  <c r="Q19" i="30"/>
  <c r="R19" i="30" s="1"/>
  <c r="I20" i="30"/>
  <c r="K20" i="30" s="1"/>
  <c r="Q20" i="30"/>
  <c r="R20" i="30" s="1"/>
  <c r="I21" i="30"/>
  <c r="K21" i="30" s="1"/>
  <c r="Q21" i="30"/>
  <c r="R21" i="30" s="1"/>
  <c r="I22" i="30"/>
  <c r="K22" i="30" s="1"/>
  <c r="Q22" i="30"/>
  <c r="R22" i="30" s="1"/>
  <c r="I23" i="30"/>
  <c r="K23" i="30" s="1"/>
  <c r="Q23" i="30"/>
  <c r="R23" i="30" s="1"/>
  <c r="I24" i="30"/>
  <c r="K24" i="30" s="1"/>
  <c r="Q24" i="30"/>
  <c r="R24" i="30" s="1"/>
  <c r="I25" i="30"/>
  <c r="K25" i="30" s="1"/>
  <c r="Q25" i="30"/>
  <c r="R25" i="30" s="1"/>
  <c r="I26" i="30"/>
  <c r="K26" i="30" s="1"/>
  <c r="Q26" i="30"/>
  <c r="R26" i="30" s="1"/>
  <c r="I27" i="30"/>
  <c r="K27" i="30" s="1"/>
  <c r="Q27" i="30"/>
  <c r="R27" i="30" s="1"/>
  <c r="I28" i="30"/>
  <c r="K28" i="30" s="1"/>
  <c r="Q28" i="30"/>
  <c r="R28" i="30" s="1"/>
  <c r="I29" i="30"/>
  <c r="K29" i="30" s="1"/>
  <c r="Q29" i="30"/>
  <c r="R29" i="30" s="1"/>
  <c r="I30" i="30"/>
  <c r="K30" i="30" s="1"/>
  <c r="Q30" i="30"/>
  <c r="R30" i="30" s="1"/>
  <c r="I31" i="30"/>
  <c r="K31" i="30" s="1"/>
  <c r="Q31" i="30"/>
  <c r="R31" i="30" s="1"/>
  <c r="I32" i="30"/>
  <c r="K32" i="30" s="1"/>
  <c r="Q32" i="30"/>
  <c r="R32" i="30" s="1"/>
  <c r="I33" i="30"/>
  <c r="K33" i="30" s="1"/>
  <c r="Q33" i="30"/>
  <c r="R33" i="30" s="1"/>
  <c r="I34" i="30"/>
  <c r="K34" i="30" s="1"/>
  <c r="Q34" i="30"/>
  <c r="R34" i="30" s="1"/>
  <c r="I35" i="30"/>
  <c r="K35" i="30" s="1"/>
  <c r="Q35" i="30"/>
  <c r="R35" i="30" s="1"/>
  <c r="I36" i="30"/>
  <c r="K36" i="30" s="1"/>
  <c r="Q36" i="30"/>
  <c r="R36" i="30" s="1"/>
  <c r="I37" i="30"/>
  <c r="K37" i="30" s="1"/>
  <c r="Q37" i="30"/>
  <c r="R37" i="30" s="1"/>
  <c r="I38" i="30"/>
  <c r="K38" i="30" s="1"/>
  <c r="Q38" i="30"/>
  <c r="R38" i="30" s="1"/>
  <c r="I39" i="30"/>
  <c r="K39" i="30" s="1"/>
  <c r="Q39" i="30"/>
  <c r="R39" i="30" s="1"/>
  <c r="G40" i="30"/>
  <c r="I40" i="30"/>
  <c r="K40" i="30" s="1"/>
  <c r="E40" i="30" s="1"/>
  <c r="Q40" i="30"/>
  <c r="R40" i="30" s="1"/>
  <c r="N40" i="30" s="1"/>
  <c r="G41" i="30"/>
  <c r="I41" i="30"/>
  <c r="K41" i="30" s="1"/>
  <c r="E41" i="30" s="1"/>
  <c r="Q41" i="30"/>
  <c r="R41" i="30" s="1"/>
  <c r="N41" i="30" s="1"/>
  <c r="G42" i="30"/>
  <c r="I42" i="30"/>
  <c r="K42" i="30" s="1"/>
  <c r="E42" i="30" s="1"/>
  <c r="Q42" i="30"/>
  <c r="R42" i="30" s="1"/>
  <c r="N42" i="30" s="1"/>
  <c r="G43" i="30"/>
  <c r="I43" i="30"/>
  <c r="K43" i="30" s="1"/>
  <c r="E43" i="30" s="1"/>
  <c r="Q43" i="30"/>
  <c r="R43" i="30" s="1"/>
  <c r="N43" i="30" s="1"/>
  <c r="G44" i="30"/>
  <c r="I44" i="30"/>
  <c r="K44" i="30" s="1"/>
  <c r="E44" i="30" s="1"/>
  <c r="Q44" i="30"/>
  <c r="R44" i="30" s="1"/>
  <c r="N44" i="30" s="1"/>
  <c r="G45" i="30"/>
  <c r="I45" i="30"/>
  <c r="K45" i="30" s="1"/>
  <c r="E45" i="30" s="1"/>
  <c r="Q45" i="30"/>
  <c r="R45" i="30" s="1"/>
  <c r="N45" i="30" s="1"/>
  <c r="G46" i="30"/>
  <c r="I46" i="30"/>
  <c r="K46" i="30" s="1"/>
  <c r="E46" i="30" s="1"/>
  <c r="Q46" i="30"/>
  <c r="R46" i="30" s="1"/>
  <c r="I47" i="30"/>
  <c r="K47" i="30"/>
  <c r="Q47" i="30"/>
  <c r="R47" i="30"/>
  <c r="N47" i="30" s="1"/>
  <c r="I48" i="30"/>
  <c r="K48" i="30" s="1"/>
  <c r="Q48" i="30"/>
  <c r="R48" i="30" s="1"/>
  <c r="I49" i="30"/>
  <c r="K49" i="30"/>
  <c r="Q49" i="30"/>
  <c r="R49" i="30"/>
  <c r="I50" i="30"/>
  <c r="K50" i="30"/>
  <c r="Q50" i="30"/>
  <c r="R50" i="30"/>
  <c r="I51" i="30"/>
  <c r="K51" i="30"/>
  <c r="Q51" i="30"/>
  <c r="R51" i="30"/>
  <c r="I52" i="30"/>
  <c r="K52" i="30"/>
  <c r="Q52" i="30"/>
  <c r="R52" i="30"/>
  <c r="I53" i="30"/>
  <c r="K53" i="30"/>
  <c r="Q53" i="30"/>
  <c r="R53" i="30"/>
  <c r="I54" i="30"/>
  <c r="K54" i="30"/>
  <c r="Q54" i="30"/>
  <c r="R54" i="30"/>
  <c r="I55" i="30"/>
  <c r="K55" i="30"/>
  <c r="Q55" i="30"/>
  <c r="R55" i="30"/>
  <c r="I56" i="30"/>
  <c r="K56" i="30"/>
  <c r="Q56" i="30"/>
  <c r="R56" i="30"/>
  <c r="I57" i="30"/>
  <c r="K57" i="30"/>
  <c r="Q57" i="30"/>
  <c r="R57" i="30"/>
  <c r="I58" i="30"/>
  <c r="K58" i="30"/>
  <c r="Q58" i="30"/>
  <c r="R58" i="30"/>
  <c r="I59" i="30"/>
  <c r="K59" i="30"/>
  <c r="Q59" i="30"/>
  <c r="R59" i="30"/>
  <c r="I60" i="30"/>
  <c r="K60" i="30"/>
  <c r="Q60" i="30"/>
  <c r="R60" i="30"/>
  <c r="I61" i="30"/>
  <c r="K61" i="30"/>
  <c r="Q61" i="30"/>
  <c r="R61" i="30"/>
  <c r="I62" i="30"/>
  <c r="K62" i="30"/>
  <c r="Q62" i="30"/>
  <c r="R62" i="30"/>
  <c r="I63" i="30"/>
  <c r="K63" i="30"/>
  <c r="Q63" i="30"/>
  <c r="R63" i="30"/>
  <c r="I64" i="30"/>
  <c r="K64" i="30"/>
  <c r="Q64" i="30"/>
  <c r="R64" i="30"/>
  <c r="I65" i="30"/>
  <c r="K65" i="30"/>
  <c r="Q65" i="30"/>
  <c r="R65" i="30"/>
  <c r="I66" i="30"/>
  <c r="K66" i="30"/>
  <c r="Q66" i="30"/>
  <c r="R66" i="30" s="1"/>
  <c r="I67" i="30"/>
  <c r="K67" i="30" s="1"/>
  <c r="Q67" i="30"/>
  <c r="R67" i="30" s="1"/>
  <c r="I68" i="30"/>
  <c r="K68" i="30" s="1"/>
  <c r="Q68" i="30"/>
  <c r="R68" i="30" s="1"/>
  <c r="I69" i="30"/>
  <c r="K69" i="30" s="1"/>
  <c r="Q69" i="30"/>
  <c r="R69" i="30" s="1"/>
  <c r="I70" i="30"/>
  <c r="K70" i="30" s="1"/>
  <c r="Q70" i="30"/>
  <c r="R70" i="30" s="1"/>
  <c r="I71" i="30"/>
  <c r="K71" i="30" s="1"/>
  <c r="Q71" i="30"/>
  <c r="R71" i="30" s="1"/>
  <c r="I72" i="30"/>
  <c r="K72" i="30" s="1"/>
  <c r="Q72" i="30"/>
  <c r="R72" i="30" s="1"/>
  <c r="I73" i="30"/>
  <c r="K73" i="30" s="1"/>
  <c r="Q73" i="30"/>
  <c r="R73" i="30" s="1"/>
  <c r="I74" i="30"/>
  <c r="K74" i="30" s="1"/>
  <c r="Q74" i="30"/>
  <c r="R74" i="30" s="1"/>
  <c r="I75" i="30"/>
  <c r="K75" i="30" s="1"/>
  <c r="Q75" i="30"/>
  <c r="R75" i="30" s="1"/>
  <c r="I76" i="30"/>
  <c r="K76" i="30" s="1"/>
  <c r="Q76" i="30"/>
  <c r="R76" i="30" s="1"/>
  <c r="I77" i="30"/>
  <c r="K77" i="30" s="1"/>
  <c r="Q77" i="30"/>
  <c r="R77" i="30" s="1"/>
  <c r="I78" i="30"/>
  <c r="K78" i="30" s="1"/>
  <c r="Q78" i="30"/>
  <c r="R78" i="30" s="1"/>
  <c r="I79" i="30"/>
  <c r="K79" i="30" s="1"/>
  <c r="Q79" i="30"/>
  <c r="R79" i="30" s="1"/>
  <c r="I80" i="30"/>
  <c r="K80" i="30"/>
  <c r="G80" i="30" s="1"/>
  <c r="Q80" i="30"/>
  <c r="R80" i="30" s="1"/>
  <c r="I81" i="30"/>
  <c r="K81" i="30"/>
  <c r="G81" i="30" s="1"/>
  <c r="Q81" i="30"/>
  <c r="R81" i="30" s="1"/>
  <c r="I82" i="30"/>
  <c r="K82" i="30"/>
  <c r="G82" i="30" s="1"/>
  <c r="Q82" i="30"/>
  <c r="R82" i="30" s="1"/>
  <c r="I83" i="30"/>
  <c r="K83" i="30"/>
  <c r="G83" i="30" s="1"/>
  <c r="Q83" i="30"/>
  <c r="R83" i="30" s="1"/>
  <c r="I84" i="30"/>
  <c r="K84" i="30"/>
  <c r="G84" i="30" s="1"/>
  <c r="Q84" i="30"/>
  <c r="R84" i="30" s="1"/>
  <c r="E85" i="30"/>
  <c r="I85" i="30"/>
  <c r="K85" i="30" s="1"/>
  <c r="G85" i="30" s="1"/>
  <c r="N85" i="30"/>
  <c r="Q85" i="30"/>
  <c r="R85" i="30" s="1"/>
  <c r="O85" i="30" s="1"/>
  <c r="E86" i="30"/>
  <c r="I86" i="30"/>
  <c r="K86" i="30" s="1"/>
  <c r="G86" i="30" s="1"/>
  <c r="N86" i="30"/>
  <c r="Q86" i="30"/>
  <c r="R86" i="30" s="1"/>
  <c r="O86" i="30" s="1"/>
  <c r="E87" i="30"/>
  <c r="I87" i="30"/>
  <c r="K87" i="30" s="1"/>
  <c r="G87" i="30" s="1"/>
  <c r="N87" i="30"/>
  <c r="Q87" i="30"/>
  <c r="R87" i="30" s="1"/>
  <c r="O87" i="30" s="1"/>
  <c r="E88" i="30"/>
  <c r="I88" i="30"/>
  <c r="K88" i="30" s="1"/>
  <c r="G88" i="30" s="1"/>
  <c r="N88" i="30"/>
  <c r="Q88" i="30"/>
  <c r="R88" i="30" s="1"/>
  <c r="O88" i="30" s="1"/>
  <c r="E89" i="30"/>
  <c r="I89" i="30"/>
  <c r="K89" i="30" s="1"/>
  <c r="G89" i="30" s="1"/>
  <c r="N89" i="30"/>
  <c r="Q89" i="30"/>
  <c r="R89" i="30" s="1"/>
  <c r="O89" i="30" s="1"/>
  <c r="E90" i="30"/>
  <c r="I90" i="30"/>
  <c r="K90" i="30" s="1"/>
  <c r="G90" i="30" s="1"/>
  <c r="N90" i="30"/>
  <c r="Q90" i="30"/>
  <c r="R90" i="30" s="1"/>
  <c r="O90" i="30" s="1"/>
  <c r="E91" i="30"/>
  <c r="I91" i="30"/>
  <c r="K91" i="30" s="1"/>
  <c r="G91" i="30" s="1"/>
  <c r="N91" i="30"/>
  <c r="Q91" i="30"/>
  <c r="R91" i="30" s="1"/>
  <c r="O91" i="30" s="1"/>
  <c r="E92" i="30"/>
  <c r="I92" i="30"/>
  <c r="K92" i="30" s="1"/>
  <c r="G92" i="30" s="1"/>
  <c r="N92" i="30"/>
  <c r="Q92" i="30"/>
  <c r="R92" i="30" s="1"/>
  <c r="O92" i="30" s="1"/>
  <c r="E93" i="30"/>
  <c r="I93" i="30"/>
  <c r="K93" i="30" s="1"/>
  <c r="G93" i="30" s="1"/>
  <c r="N93" i="30"/>
  <c r="Q93" i="30"/>
  <c r="R93" i="30" s="1"/>
  <c r="O93" i="30" s="1"/>
  <c r="E94" i="30"/>
  <c r="I94" i="30"/>
  <c r="K94" i="30" s="1"/>
  <c r="G94" i="30" s="1"/>
  <c r="N94" i="30"/>
  <c r="Q94" i="30"/>
  <c r="R94" i="30" s="1"/>
  <c r="O94" i="30" s="1"/>
  <c r="E95" i="30"/>
  <c r="I95" i="30"/>
  <c r="K95" i="30" s="1"/>
  <c r="G95" i="30" s="1"/>
  <c r="N95" i="30"/>
  <c r="Q95" i="30"/>
  <c r="R95" i="30" s="1"/>
  <c r="O95" i="30" s="1"/>
  <c r="E96" i="30"/>
  <c r="I96" i="30"/>
  <c r="K96" i="30" s="1"/>
  <c r="G96" i="30" s="1"/>
  <c r="N96" i="30"/>
  <c r="Q96" i="30"/>
  <c r="R96" i="30" s="1"/>
  <c r="O96" i="30" s="1"/>
  <c r="E97" i="30"/>
  <c r="I97" i="30"/>
  <c r="K97" i="30" s="1"/>
  <c r="G97" i="30" s="1"/>
  <c r="N97" i="30"/>
  <c r="Q97" i="30"/>
  <c r="R97" i="30" s="1"/>
  <c r="O97" i="30" s="1"/>
  <c r="E98" i="30"/>
  <c r="I98" i="30"/>
  <c r="K98" i="30" s="1"/>
  <c r="G98" i="30" s="1"/>
  <c r="N98" i="30"/>
  <c r="Q98" i="30"/>
  <c r="R98" i="30" s="1"/>
  <c r="O98" i="30" s="1"/>
  <c r="E99" i="30"/>
  <c r="I99" i="30"/>
  <c r="K99" i="30" s="1"/>
  <c r="G99" i="30" s="1"/>
  <c r="N99" i="30"/>
  <c r="Q99" i="30"/>
  <c r="R99" i="30" s="1"/>
  <c r="O99" i="30" s="1"/>
  <c r="E100" i="30"/>
  <c r="I100" i="30"/>
  <c r="K100" i="30" s="1"/>
  <c r="G100" i="30" s="1"/>
  <c r="N100" i="30"/>
  <c r="Q100" i="30"/>
  <c r="R100" i="30" s="1"/>
  <c r="O100" i="30" s="1"/>
  <c r="E101" i="30"/>
  <c r="I101" i="30"/>
  <c r="K101" i="30" s="1"/>
  <c r="G101" i="30" s="1"/>
  <c r="N101" i="30"/>
  <c r="Q101" i="30"/>
  <c r="R101" i="30" s="1"/>
  <c r="O101" i="30" s="1"/>
  <c r="E102" i="30"/>
  <c r="I102" i="30"/>
  <c r="K102" i="30" s="1"/>
  <c r="G102" i="30" s="1"/>
  <c r="N102" i="30"/>
  <c r="Q102" i="30"/>
  <c r="R102" i="30" s="1"/>
  <c r="O102" i="30" s="1"/>
  <c r="E103" i="30"/>
  <c r="I103" i="30"/>
  <c r="K103" i="30" s="1"/>
  <c r="G103" i="30" s="1"/>
  <c r="N103" i="30"/>
  <c r="Q103" i="30"/>
  <c r="R103" i="30" s="1"/>
  <c r="O103" i="30" s="1"/>
  <c r="E104" i="30"/>
  <c r="I104" i="30"/>
  <c r="K104" i="30" s="1"/>
  <c r="G104" i="30" s="1"/>
  <c r="N104" i="30"/>
  <c r="Q104" i="30"/>
  <c r="R104" i="30" s="1"/>
  <c r="O104" i="30" s="1"/>
  <c r="E105" i="30"/>
  <c r="I105" i="30"/>
  <c r="K105" i="30" s="1"/>
  <c r="G105" i="30" s="1"/>
  <c r="N105" i="30"/>
  <c r="Q105" i="30"/>
  <c r="R105" i="30" s="1"/>
  <c r="O105" i="30" s="1"/>
  <c r="E106" i="30"/>
  <c r="I106" i="30"/>
  <c r="K106" i="30" s="1"/>
  <c r="G106" i="30" s="1"/>
  <c r="N106" i="30"/>
  <c r="Q106" i="30"/>
  <c r="R106" i="30" s="1"/>
  <c r="O106" i="30" s="1"/>
  <c r="E107" i="30"/>
  <c r="I107" i="30"/>
  <c r="K107" i="30" s="1"/>
  <c r="G107" i="30" s="1"/>
  <c r="N107" i="30"/>
  <c r="Q107" i="30"/>
  <c r="R107" i="30" s="1"/>
  <c r="O107" i="30" s="1"/>
  <c r="E108" i="30"/>
  <c r="I108" i="30"/>
  <c r="K108" i="30" s="1"/>
  <c r="G108" i="30" s="1"/>
  <c r="N108" i="30"/>
  <c r="Q108" i="30"/>
  <c r="R108" i="30" s="1"/>
  <c r="O108" i="30" s="1"/>
  <c r="E109" i="30"/>
  <c r="I109" i="30"/>
  <c r="K109" i="30" s="1"/>
  <c r="G109" i="30" s="1"/>
  <c r="N109" i="30"/>
  <c r="Q109" i="30"/>
  <c r="R109" i="30" s="1"/>
  <c r="O109" i="30" s="1"/>
  <c r="E110" i="30"/>
  <c r="I110" i="30"/>
  <c r="K110" i="30" s="1"/>
  <c r="G110" i="30" s="1"/>
  <c r="N110" i="30"/>
  <c r="Q110" i="30"/>
  <c r="R110" i="30" s="1"/>
  <c r="O110" i="30" s="1"/>
  <c r="E111" i="30"/>
  <c r="I111" i="30"/>
  <c r="K111" i="30" s="1"/>
  <c r="G111" i="30" s="1"/>
  <c r="N111" i="30"/>
  <c r="Q111" i="30"/>
  <c r="R111" i="30" s="1"/>
  <c r="O111" i="30" s="1"/>
  <c r="E112" i="30"/>
  <c r="I112" i="30"/>
  <c r="K112" i="30" s="1"/>
  <c r="G112" i="30" s="1"/>
  <c r="N112" i="30"/>
  <c r="Q112" i="30"/>
  <c r="R112" i="30" s="1"/>
  <c r="O112" i="30" s="1"/>
  <c r="E113" i="30"/>
  <c r="I113" i="30"/>
  <c r="K113" i="30" s="1"/>
  <c r="G113" i="30" s="1"/>
  <c r="N113" i="30"/>
  <c r="Q113" i="30"/>
  <c r="R113" i="30" s="1"/>
  <c r="O113" i="30" s="1"/>
  <c r="E114" i="30"/>
  <c r="G114" i="30"/>
  <c r="I114" i="30"/>
  <c r="K114" i="30" s="1"/>
  <c r="Q114" i="30"/>
  <c r="R114" i="30" s="1"/>
  <c r="N114" i="30" s="1"/>
  <c r="I115" i="30"/>
  <c r="K115" i="30"/>
  <c r="E115" i="30" s="1"/>
  <c r="Q115" i="30"/>
  <c r="R115" i="30"/>
  <c r="I116" i="30"/>
  <c r="K116" i="30"/>
  <c r="Q116" i="30"/>
  <c r="R116" i="30"/>
  <c r="I117" i="30"/>
  <c r="K117" i="30"/>
  <c r="Q117" i="30"/>
  <c r="R117" i="30"/>
  <c r="I118" i="30"/>
  <c r="K118" i="30"/>
  <c r="Q118" i="30"/>
  <c r="R118" i="30"/>
  <c r="I119" i="30"/>
  <c r="K119" i="30"/>
  <c r="Q119" i="30"/>
  <c r="R119" i="30"/>
  <c r="I120" i="30"/>
  <c r="K120" i="30"/>
  <c r="Q120" i="30"/>
  <c r="R120" i="30"/>
  <c r="I121" i="30"/>
  <c r="K121" i="30"/>
  <c r="Q121" i="30"/>
  <c r="R121" i="30"/>
  <c r="I122" i="30"/>
  <c r="K122" i="30"/>
  <c r="Q122" i="30"/>
  <c r="R122" i="30"/>
  <c r="I123" i="30"/>
  <c r="K123" i="30"/>
  <c r="E123" i="30" s="1"/>
  <c r="Q123" i="30"/>
  <c r="R123" i="30"/>
  <c r="N123" i="30" s="1"/>
  <c r="I124" i="30"/>
  <c r="K124" i="30"/>
  <c r="E124" i="30" s="1"/>
  <c r="O124" i="30"/>
  <c r="Q124" i="30"/>
  <c r="R124" i="30"/>
  <c r="N124" i="30" s="1"/>
  <c r="G125" i="30"/>
  <c r="I125" i="30"/>
  <c r="K125" i="30"/>
  <c r="E125" i="30" s="1"/>
  <c r="Q125" i="30"/>
  <c r="R125" i="30"/>
  <c r="N125" i="30" s="1"/>
  <c r="I126" i="30"/>
  <c r="K126" i="30"/>
  <c r="E126" i="30" s="1"/>
  <c r="O126" i="30"/>
  <c r="Q126" i="30"/>
  <c r="R126" i="30"/>
  <c r="N126" i="30" s="1"/>
  <c r="G127" i="30"/>
  <c r="I127" i="30"/>
  <c r="K127" i="30"/>
  <c r="E127" i="30" s="1"/>
  <c r="Q127" i="30"/>
  <c r="R127" i="30"/>
  <c r="N127" i="30" s="1"/>
  <c r="I128" i="30"/>
  <c r="K128" i="30"/>
  <c r="E128" i="30" s="1"/>
  <c r="O128" i="30"/>
  <c r="Q128" i="30"/>
  <c r="R128" i="30"/>
  <c r="N128" i="30" s="1"/>
  <c r="G129" i="30"/>
  <c r="I129" i="30"/>
  <c r="K129" i="30"/>
  <c r="E129" i="30" s="1"/>
  <c r="Q129" i="30"/>
  <c r="R129" i="30"/>
  <c r="N129" i="30" s="1"/>
  <c r="I130" i="30"/>
  <c r="K130" i="30"/>
  <c r="E130" i="30" s="1"/>
  <c r="O130" i="30"/>
  <c r="Q130" i="30"/>
  <c r="R130" i="30"/>
  <c r="N130" i="30" s="1"/>
  <c r="G131" i="30"/>
  <c r="I131" i="30"/>
  <c r="K131" i="30"/>
  <c r="E131" i="30" s="1"/>
  <c r="Q131" i="30"/>
  <c r="R131" i="30"/>
  <c r="N131" i="30" s="1"/>
  <c r="I132" i="30"/>
  <c r="K132" i="30"/>
  <c r="E132" i="30" s="1"/>
  <c r="O132" i="30"/>
  <c r="Q132" i="30"/>
  <c r="R132" i="30"/>
  <c r="N132" i="30" s="1"/>
  <c r="G133" i="30"/>
  <c r="I133" i="30"/>
  <c r="K133" i="30"/>
  <c r="E133" i="30" s="1"/>
  <c r="Q133" i="30"/>
  <c r="R133" i="30"/>
  <c r="N133" i="30" s="1"/>
  <c r="I134" i="30"/>
  <c r="K134" i="30"/>
  <c r="E134" i="30" s="1"/>
  <c r="O134" i="30"/>
  <c r="Q134" i="30"/>
  <c r="R134" i="30"/>
  <c r="N134" i="30" s="1"/>
  <c r="G135" i="30"/>
  <c r="I135" i="30"/>
  <c r="K135" i="30"/>
  <c r="E135" i="30" s="1"/>
  <c r="Q135" i="30"/>
  <c r="R135" i="30"/>
  <c r="N135" i="30" s="1"/>
  <c r="I136" i="30"/>
  <c r="K136" i="30"/>
  <c r="E136" i="30" s="1"/>
  <c r="O136" i="30"/>
  <c r="Q136" i="30"/>
  <c r="R136" i="30"/>
  <c r="N136" i="30" s="1"/>
  <c r="G137" i="30"/>
  <c r="I137" i="30"/>
  <c r="K137" i="30"/>
  <c r="E137" i="30" s="1"/>
  <c r="Q137" i="30"/>
  <c r="R137" i="30"/>
  <c r="N137" i="30" s="1"/>
  <c r="I138" i="30"/>
  <c r="K138" i="30"/>
  <c r="E138" i="30" s="1"/>
  <c r="O138" i="30"/>
  <c r="Q138" i="30"/>
  <c r="R138" i="30"/>
  <c r="N138" i="30" s="1"/>
  <c r="G139" i="30"/>
  <c r="I139" i="30"/>
  <c r="K139" i="30"/>
  <c r="E139" i="30" s="1"/>
  <c r="Q139" i="30"/>
  <c r="R139" i="30"/>
  <c r="N139" i="30" s="1"/>
  <c r="I140" i="30"/>
  <c r="K140" i="30"/>
  <c r="E140" i="30" s="1"/>
  <c r="O140" i="30"/>
  <c r="Q140" i="30"/>
  <c r="R140" i="30"/>
  <c r="N140" i="30" s="1"/>
  <c r="G141" i="30"/>
  <c r="I141" i="30"/>
  <c r="K141" i="30"/>
  <c r="E141" i="30" s="1"/>
  <c r="Q141" i="30"/>
  <c r="R141" i="30"/>
  <c r="N141" i="30" s="1"/>
  <c r="I142" i="30"/>
  <c r="K142" i="30"/>
  <c r="E142" i="30" s="1"/>
  <c r="O142" i="30"/>
  <c r="Q142" i="30"/>
  <c r="R142" i="30"/>
  <c r="N142" i="30" s="1"/>
  <c r="G143" i="30"/>
  <c r="I143" i="30"/>
  <c r="K143" i="30"/>
  <c r="E143" i="30" s="1"/>
  <c r="Q143" i="30"/>
  <c r="R143" i="30"/>
  <c r="N143" i="30" s="1"/>
  <c r="I144" i="30"/>
  <c r="K144" i="30"/>
  <c r="E144" i="30" s="1"/>
  <c r="O144" i="30"/>
  <c r="Q144" i="30"/>
  <c r="R144" i="30"/>
  <c r="N144" i="30" s="1"/>
  <c r="G145" i="30"/>
  <c r="I145" i="30"/>
  <c r="K145" i="30"/>
  <c r="E145" i="30" s="1"/>
  <c r="Q145" i="30"/>
  <c r="R145" i="30"/>
  <c r="N145" i="30" s="1"/>
  <c r="I146" i="30"/>
  <c r="K146" i="30"/>
  <c r="E146" i="30" s="1"/>
  <c r="O146" i="30"/>
  <c r="Q146" i="30"/>
  <c r="R146" i="30"/>
  <c r="N146" i="30" s="1"/>
  <c r="G147" i="30"/>
  <c r="I147" i="30"/>
  <c r="K147" i="30"/>
  <c r="E147" i="30" s="1"/>
  <c r="Q147" i="30"/>
  <c r="R147" i="30"/>
  <c r="N147" i="30" s="1"/>
  <c r="I148" i="30"/>
  <c r="K148" i="30"/>
  <c r="E148" i="30" s="1"/>
  <c r="O148" i="30"/>
  <c r="Q148" i="30"/>
  <c r="R148" i="30"/>
  <c r="N148" i="30" s="1"/>
  <c r="G149" i="30"/>
  <c r="I149" i="30"/>
  <c r="K149" i="30"/>
  <c r="E149" i="30" s="1"/>
  <c r="Q149" i="30"/>
  <c r="R149" i="30"/>
  <c r="N149" i="30" s="1"/>
  <c r="I150" i="30"/>
  <c r="K150" i="30"/>
  <c r="E150" i="30" s="1"/>
  <c r="O150" i="30"/>
  <c r="Q150" i="30"/>
  <c r="R150" i="30"/>
  <c r="N150" i="30" s="1"/>
  <c r="G151" i="30"/>
  <c r="I151" i="30"/>
  <c r="K151" i="30"/>
  <c r="E151" i="30" s="1"/>
  <c r="Q151" i="30"/>
  <c r="R151" i="30"/>
  <c r="N151" i="30" s="1"/>
  <c r="I152" i="30"/>
  <c r="K152" i="30"/>
  <c r="E152" i="30" s="1"/>
  <c r="O152" i="30"/>
  <c r="Q152" i="30"/>
  <c r="R152" i="30"/>
  <c r="N152" i="30" s="1"/>
  <c r="G153" i="30"/>
  <c r="I153" i="30"/>
  <c r="K153" i="30"/>
  <c r="E153" i="30" s="1"/>
  <c r="Q153" i="30"/>
  <c r="R153" i="30"/>
  <c r="N153" i="30" s="1"/>
  <c r="I154" i="30"/>
  <c r="K154" i="30"/>
  <c r="E154" i="30" s="1"/>
  <c r="O154" i="30"/>
  <c r="Q154" i="30"/>
  <c r="R154" i="30"/>
  <c r="N154" i="30" s="1"/>
  <c r="G155" i="30"/>
  <c r="I155" i="30"/>
  <c r="K155" i="30"/>
  <c r="E155" i="30" s="1"/>
  <c r="Q155" i="30"/>
  <c r="R155" i="30"/>
  <c r="N155" i="30" s="1"/>
  <c r="I156" i="30"/>
  <c r="K156" i="30"/>
  <c r="E156" i="30" s="1"/>
  <c r="O156" i="30"/>
  <c r="Q156" i="30"/>
  <c r="R156" i="30"/>
  <c r="N156" i="30" s="1"/>
  <c r="G157" i="30"/>
  <c r="I157" i="30"/>
  <c r="K157" i="30"/>
  <c r="E157" i="30" s="1"/>
  <c r="Q157" i="30"/>
  <c r="R157" i="30"/>
  <c r="I158" i="30"/>
  <c r="K158" i="30"/>
  <c r="E158" i="30" s="1"/>
  <c r="O158" i="30"/>
  <c r="Q158" i="30"/>
  <c r="R158" i="30"/>
  <c r="N158" i="30" s="1"/>
  <c r="G159" i="30"/>
  <c r="I159" i="30"/>
  <c r="K159" i="30"/>
  <c r="E159" i="30" s="1"/>
  <c r="Q159" i="30"/>
  <c r="R159" i="30"/>
  <c r="I160" i="30"/>
  <c r="K160" i="30"/>
  <c r="E160" i="30" s="1"/>
  <c r="O160" i="30"/>
  <c r="Q160" i="30"/>
  <c r="R160" i="30"/>
  <c r="N160" i="30" s="1"/>
  <c r="G161" i="30"/>
  <c r="I161" i="30"/>
  <c r="K161" i="30"/>
  <c r="E161" i="30" s="1"/>
  <c r="Q161" i="30"/>
  <c r="R161" i="30"/>
  <c r="I162" i="30"/>
  <c r="K162" i="30"/>
  <c r="E162" i="30" s="1"/>
  <c r="O162" i="30"/>
  <c r="Q162" i="30"/>
  <c r="R162" i="30"/>
  <c r="N162" i="30" s="1"/>
  <c r="G163" i="30"/>
  <c r="I163" i="30"/>
  <c r="K163" i="30"/>
  <c r="E163" i="30" s="1"/>
  <c r="Q163" i="30"/>
  <c r="R163" i="30"/>
  <c r="I164" i="30"/>
  <c r="K164" i="30"/>
  <c r="E164" i="30" s="1"/>
  <c r="O164" i="30"/>
  <c r="Q164" i="30"/>
  <c r="R164" i="30"/>
  <c r="N164" i="30" s="1"/>
  <c r="G165" i="30"/>
  <c r="I165" i="30"/>
  <c r="K165" i="30"/>
  <c r="E165" i="30" s="1"/>
  <c r="Q165" i="30"/>
  <c r="R165" i="30"/>
  <c r="I166" i="30"/>
  <c r="K166" i="30"/>
  <c r="E166" i="30" s="1"/>
  <c r="O166" i="30"/>
  <c r="Q166" i="30"/>
  <c r="R166" i="30"/>
  <c r="N166" i="30" s="1"/>
  <c r="I167" i="30"/>
  <c r="K167" i="30" s="1"/>
  <c r="Q167" i="30"/>
  <c r="R167" i="30"/>
  <c r="I168" i="30"/>
  <c r="K168" i="30"/>
  <c r="E168" i="30" s="1"/>
  <c r="O168" i="30"/>
  <c r="Q168" i="30"/>
  <c r="R168" i="30"/>
  <c r="N168" i="30" s="1"/>
  <c r="I169" i="30"/>
  <c r="K169" i="30" s="1"/>
  <c r="Q169" i="30"/>
  <c r="R169" i="30"/>
  <c r="I170" i="30"/>
  <c r="K170" i="30"/>
  <c r="E170" i="30" s="1"/>
  <c r="O170" i="30"/>
  <c r="Q170" i="30"/>
  <c r="R170" i="30"/>
  <c r="N170" i="30" s="1"/>
  <c r="I171" i="30"/>
  <c r="K171" i="30" s="1"/>
  <c r="Q171" i="30"/>
  <c r="R171" i="30"/>
  <c r="I172" i="30"/>
  <c r="K172" i="30"/>
  <c r="E172" i="30" s="1"/>
  <c r="O172" i="30"/>
  <c r="Q172" i="30"/>
  <c r="R172" i="30"/>
  <c r="N172" i="30" s="1"/>
  <c r="I173" i="30"/>
  <c r="K173" i="30" s="1"/>
  <c r="Q173" i="30"/>
  <c r="R173" i="30"/>
  <c r="I174" i="30"/>
  <c r="K174" i="30"/>
  <c r="E174" i="30" s="1"/>
  <c r="O174" i="30"/>
  <c r="Q174" i="30"/>
  <c r="R174" i="30"/>
  <c r="N174" i="30" s="1"/>
  <c r="I175" i="30"/>
  <c r="K175" i="30" s="1"/>
  <c r="Q175" i="30"/>
  <c r="R175" i="30"/>
  <c r="I176" i="30"/>
  <c r="K176" i="30"/>
  <c r="E176" i="30" s="1"/>
  <c r="O176" i="30"/>
  <c r="Q176" i="30"/>
  <c r="R176" i="30"/>
  <c r="N176" i="30" s="1"/>
  <c r="I177" i="30"/>
  <c r="K177" i="30" s="1"/>
  <c r="Q177" i="30"/>
  <c r="R177" i="30"/>
  <c r="I178" i="30"/>
  <c r="K178" i="30"/>
  <c r="E178" i="30" s="1"/>
  <c r="O178" i="30"/>
  <c r="Q178" i="30"/>
  <c r="R178" i="30"/>
  <c r="N178" i="30" s="1"/>
  <c r="I179" i="30"/>
  <c r="K179" i="30" s="1"/>
  <c r="Q179" i="30"/>
  <c r="R179" i="30"/>
  <c r="I180" i="30"/>
  <c r="K180" i="30"/>
  <c r="E180" i="30" s="1"/>
  <c r="O180" i="30"/>
  <c r="Q180" i="30"/>
  <c r="R180" i="30"/>
  <c r="N180" i="30" s="1"/>
  <c r="G181" i="30"/>
  <c r="I181" i="30"/>
  <c r="K181" i="30" s="1"/>
  <c r="E181" i="30" s="1"/>
  <c r="Q181" i="30"/>
  <c r="R181" i="30" s="1"/>
  <c r="I182" i="30"/>
  <c r="K182" i="30"/>
  <c r="O182" i="30"/>
  <c r="Q182" i="30"/>
  <c r="R182" i="30"/>
  <c r="N182" i="30" s="1"/>
  <c r="I183" i="30"/>
  <c r="K183" i="30" s="1"/>
  <c r="E183" i="30" s="1"/>
  <c r="Q183" i="30"/>
  <c r="R183" i="30"/>
  <c r="I184" i="30"/>
  <c r="K184" i="30"/>
  <c r="O184" i="30"/>
  <c r="Q184" i="30"/>
  <c r="R184" i="30"/>
  <c r="N184" i="30" s="1"/>
  <c r="G185" i="30"/>
  <c r="I185" i="30"/>
  <c r="K185" i="30" s="1"/>
  <c r="E185" i="30" s="1"/>
  <c r="Q185" i="30"/>
  <c r="R185" i="30" s="1"/>
  <c r="I186" i="30"/>
  <c r="K186" i="30"/>
  <c r="O186" i="30"/>
  <c r="Q186" i="30"/>
  <c r="R186" i="30"/>
  <c r="N186" i="30" s="1"/>
  <c r="I187" i="30"/>
  <c r="K187" i="30" s="1"/>
  <c r="E187" i="30" s="1"/>
  <c r="Q187" i="30"/>
  <c r="R187" i="30"/>
  <c r="I188" i="30"/>
  <c r="K188" i="30"/>
  <c r="O188" i="30"/>
  <c r="Q188" i="30"/>
  <c r="R188" i="30"/>
  <c r="N188" i="30" s="1"/>
  <c r="G189" i="30"/>
  <c r="I189" i="30"/>
  <c r="K189" i="30" s="1"/>
  <c r="E189" i="30" s="1"/>
  <c r="Q189" i="30"/>
  <c r="R189" i="30" s="1"/>
  <c r="I190" i="30"/>
  <c r="K190" i="30"/>
  <c r="O190" i="30"/>
  <c r="Q190" i="30"/>
  <c r="R190" i="30"/>
  <c r="N190" i="30" s="1"/>
  <c r="I191" i="30"/>
  <c r="K191" i="30" s="1"/>
  <c r="E191" i="30" s="1"/>
  <c r="Q191" i="30"/>
  <c r="R191" i="30"/>
  <c r="I192" i="30"/>
  <c r="K192" i="30"/>
  <c r="O192" i="30"/>
  <c r="Q192" i="30"/>
  <c r="R192" i="30"/>
  <c r="N192" i="30" s="1"/>
  <c r="G193" i="30"/>
  <c r="I193" i="30"/>
  <c r="K193" i="30" s="1"/>
  <c r="E193" i="30" s="1"/>
  <c r="Q193" i="30"/>
  <c r="R193" i="30" s="1"/>
  <c r="I194" i="30"/>
  <c r="K194" i="30"/>
  <c r="O194" i="30"/>
  <c r="Q194" i="30"/>
  <c r="R194" i="30"/>
  <c r="N194" i="30" s="1"/>
  <c r="I195" i="30"/>
  <c r="K195" i="30" s="1"/>
  <c r="E195" i="30" s="1"/>
  <c r="Q195" i="30"/>
  <c r="R195" i="30"/>
  <c r="I196" i="30"/>
  <c r="K196" i="30"/>
  <c r="O196" i="30"/>
  <c r="Q196" i="30"/>
  <c r="R196" i="30"/>
  <c r="N196" i="30" s="1"/>
  <c r="G197" i="30"/>
  <c r="I197" i="30"/>
  <c r="K197" i="30" s="1"/>
  <c r="E197" i="30" s="1"/>
  <c r="O197" i="30"/>
  <c r="Q197" i="30"/>
  <c r="R197" i="30" s="1"/>
  <c r="N197" i="30" s="1"/>
  <c r="G198" i="30"/>
  <c r="I198" i="30"/>
  <c r="K198" i="30" s="1"/>
  <c r="E198" i="30" s="1"/>
  <c r="O198" i="30"/>
  <c r="Q198" i="30"/>
  <c r="R198" i="30" s="1"/>
  <c r="N198" i="30" s="1"/>
  <c r="G199" i="30"/>
  <c r="I199" i="30"/>
  <c r="K199" i="30" s="1"/>
  <c r="E199" i="30" s="1"/>
  <c r="O199" i="30"/>
  <c r="Q199" i="30"/>
  <c r="R199" i="30" s="1"/>
  <c r="N199" i="30" s="1"/>
  <c r="G200" i="30"/>
  <c r="I200" i="30"/>
  <c r="K200" i="30" s="1"/>
  <c r="E200" i="30" s="1"/>
  <c r="O200" i="30"/>
  <c r="Q200" i="30"/>
  <c r="R200" i="30" s="1"/>
  <c r="N200" i="30" s="1"/>
  <c r="G201" i="30"/>
  <c r="I201" i="30"/>
  <c r="K201" i="30" s="1"/>
  <c r="E201" i="30" s="1"/>
  <c r="O201" i="30"/>
  <c r="Q201" i="30"/>
  <c r="R201" i="30" s="1"/>
  <c r="N201" i="30" s="1"/>
  <c r="G202" i="30"/>
  <c r="I202" i="30"/>
  <c r="K202" i="30" s="1"/>
  <c r="E202" i="30" s="1"/>
  <c r="N202" i="30"/>
  <c r="Q202" i="30"/>
  <c r="R202" i="30" s="1"/>
  <c r="O202" i="30" s="1"/>
  <c r="E203" i="30"/>
  <c r="G203" i="30"/>
  <c r="I203" i="30"/>
  <c r="K203" i="30" s="1"/>
  <c r="Q203" i="30"/>
  <c r="R203" i="30" s="1"/>
  <c r="N203" i="30" s="1"/>
  <c r="G204" i="30"/>
  <c r="I204" i="30"/>
  <c r="K204" i="30" s="1"/>
  <c r="E204" i="30" s="1"/>
  <c r="N204" i="30"/>
  <c r="Q204" i="30"/>
  <c r="R204" i="30" s="1"/>
  <c r="O204" i="30" s="1"/>
  <c r="E205" i="30"/>
  <c r="G205" i="30"/>
  <c r="I205" i="30"/>
  <c r="K205" i="30" s="1"/>
  <c r="Q205" i="30"/>
  <c r="R205" i="30" s="1"/>
  <c r="N205" i="30" s="1"/>
  <c r="G206" i="30"/>
  <c r="I206" i="30"/>
  <c r="K206" i="30" s="1"/>
  <c r="E206" i="30" s="1"/>
  <c r="N206" i="30"/>
  <c r="Q206" i="30"/>
  <c r="R206" i="30" s="1"/>
  <c r="O206" i="30" s="1"/>
  <c r="E207" i="30"/>
  <c r="G207" i="30"/>
  <c r="I207" i="30"/>
  <c r="K207" i="30" s="1"/>
  <c r="Q207" i="30"/>
  <c r="R207" i="30" s="1"/>
  <c r="N207" i="30" s="1"/>
  <c r="G208" i="30"/>
  <c r="I208" i="30"/>
  <c r="K208" i="30" s="1"/>
  <c r="E208" i="30" s="1"/>
  <c r="N208" i="30"/>
  <c r="Q208" i="30"/>
  <c r="R208" i="30" s="1"/>
  <c r="O208" i="30" s="1"/>
  <c r="E209" i="30"/>
  <c r="G209" i="30"/>
  <c r="I209" i="30"/>
  <c r="K209" i="30" s="1"/>
  <c r="Q209" i="30"/>
  <c r="R209" i="30" s="1"/>
  <c r="N209" i="30" s="1"/>
  <c r="G210" i="30"/>
  <c r="I210" i="30"/>
  <c r="K210" i="30" s="1"/>
  <c r="E210" i="30" s="1"/>
  <c r="N210" i="30"/>
  <c r="Q210" i="30"/>
  <c r="R210" i="30" s="1"/>
  <c r="O210" i="30" s="1"/>
  <c r="E211" i="30"/>
  <c r="G211" i="30"/>
  <c r="I211" i="30"/>
  <c r="K211" i="30" s="1"/>
  <c r="Q211" i="30"/>
  <c r="R211" i="30" s="1"/>
  <c r="N211" i="30" s="1"/>
  <c r="G212" i="30"/>
  <c r="I212" i="30"/>
  <c r="K212" i="30" s="1"/>
  <c r="E212" i="30" s="1"/>
  <c r="N212" i="30"/>
  <c r="Q212" i="30"/>
  <c r="R212" i="30" s="1"/>
  <c r="O212" i="30" s="1"/>
  <c r="E213" i="30"/>
  <c r="G213" i="30"/>
  <c r="I213" i="30"/>
  <c r="K213" i="30" s="1"/>
  <c r="Q213" i="30"/>
  <c r="R213" i="30" s="1"/>
  <c r="N213" i="30" s="1"/>
  <c r="G214" i="30"/>
  <c r="I214" i="30"/>
  <c r="K214" i="30" s="1"/>
  <c r="E214" i="30" s="1"/>
  <c r="N214" i="30"/>
  <c r="Q214" i="30"/>
  <c r="R214" i="30" s="1"/>
  <c r="O214" i="30" s="1"/>
  <c r="E215" i="30"/>
  <c r="G215" i="30"/>
  <c r="I215" i="30"/>
  <c r="K215" i="30" s="1"/>
  <c r="Q215" i="30"/>
  <c r="R215" i="30" s="1"/>
  <c r="N215" i="30" s="1"/>
  <c r="G216" i="30"/>
  <c r="I216" i="30"/>
  <c r="K216" i="30" s="1"/>
  <c r="E216" i="30" s="1"/>
  <c r="N216" i="30"/>
  <c r="Q216" i="30"/>
  <c r="R216" i="30" s="1"/>
  <c r="O216" i="30" s="1"/>
  <c r="E217" i="30"/>
  <c r="G217" i="30"/>
  <c r="I217" i="30"/>
  <c r="K217" i="30" s="1"/>
  <c r="Q217" i="30"/>
  <c r="R217" i="30" s="1"/>
  <c r="N217" i="30" s="1"/>
  <c r="G218" i="30"/>
  <c r="I218" i="30"/>
  <c r="K218" i="30" s="1"/>
  <c r="E218" i="30" s="1"/>
  <c r="N218" i="30"/>
  <c r="Q218" i="30"/>
  <c r="R218" i="30" s="1"/>
  <c r="O218" i="30" s="1"/>
  <c r="E219" i="30"/>
  <c r="G219" i="30"/>
  <c r="I219" i="30"/>
  <c r="K219" i="30" s="1"/>
  <c r="Q219" i="30"/>
  <c r="R219" i="30" s="1"/>
  <c r="N219" i="30" s="1"/>
  <c r="G220" i="30"/>
  <c r="I220" i="30"/>
  <c r="K220" i="30" s="1"/>
  <c r="E220" i="30" s="1"/>
  <c r="N220" i="30"/>
  <c r="Q220" i="30"/>
  <c r="R220" i="30" s="1"/>
  <c r="O220" i="30" s="1"/>
  <c r="E221" i="30"/>
  <c r="G221" i="30"/>
  <c r="I221" i="30"/>
  <c r="K221" i="30" s="1"/>
  <c r="Q221" i="30"/>
  <c r="R221" i="30" s="1"/>
  <c r="N221" i="30" s="1"/>
  <c r="G222" i="30"/>
  <c r="I222" i="30"/>
  <c r="K222" i="30" s="1"/>
  <c r="E222" i="30" s="1"/>
  <c r="N222" i="30"/>
  <c r="Q222" i="30"/>
  <c r="R222" i="30" s="1"/>
  <c r="O222" i="30" s="1"/>
  <c r="E223" i="30"/>
  <c r="G223" i="30"/>
  <c r="I223" i="30"/>
  <c r="K223" i="30" s="1"/>
  <c r="Q223" i="30"/>
  <c r="R223" i="30" s="1"/>
  <c r="N223" i="30" s="1"/>
  <c r="G224" i="30"/>
  <c r="I224" i="30"/>
  <c r="K224" i="30" s="1"/>
  <c r="E224" i="30" s="1"/>
  <c r="N224" i="30"/>
  <c r="Q224" i="30"/>
  <c r="R224" i="30" s="1"/>
  <c r="O224" i="30" s="1"/>
  <c r="E225" i="30"/>
  <c r="G225" i="30"/>
  <c r="I225" i="30"/>
  <c r="K225" i="30" s="1"/>
  <c r="Q225" i="30"/>
  <c r="R225" i="30" s="1"/>
  <c r="N225" i="30" s="1"/>
  <c r="G226" i="30"/>
  <c r="I226" i="30"/>
  <c r="K226" i="30" s="1"/>
  <c r="E226" i="30" s="1"/>
  <c r="N226" i="30"/>
  <c r="Q226" i="30"/>
  <c r="R226" i="30" s="1"/>
  <c r="O226" i="30" s="1"/>
  <c r="E227" i="30"/>
  <c r="G227" i="30"/>
  <c r="I227" i="30"/>
  <c r="K227" i="30" s="1"/>
  <c r="Q227" i="30"/>
  <c r="R227" i="30" s="1"/>
  <c r="N227" i="30" s="1"/>
  <c r="G228" i="30"/>
  <c r="I228" i="30"/>
  <c r="K228" i="30" s="1"/>
  <c r="E228" i="30" s="1"/>
  <c r="N228" i="30"/>
  <c r="Q228" i="30"/>
  <c r="R228" i="30" s="1"/>
  <c r="O228" i="30" s="1"/>
  <c r="E229" i="30"/>
  <c r="G229" i="30"/>
  <c r="I229" i="30"/>
  <c r="K229" i="30" s="1"/>
  <c r="Q229" i="30"/>
  <c r="R229" i="30" s="1"/>
  <c r="N229" i="30" s="1"/>
  <c r="G230" i="30"/>
  <c r="I230" i="30"/>
  <c r="K230" i="30" s="1"/>
  <c r="E230" i="30" s="1"/>
  <c r="N230" i="30"/>
  <c r="Q230" i="30"/>
  <c r="R230" i="30" s="1"/>
  <c r="O230" i="30" s="1"/>
  <c r="E231" i="30"/>
  <c r="G231" i="30"/>
  <c r="I231" i="30"/>
  <c r="K231" i="30" s="1"/>
  <c r="Q231" i="30"/>
  <c r="R231" i="30" s="1"/>
  <c r="N231" i="30" s="1"/>
  <c r="G232" i="30"/>
  <c r="I232" i="30"/>
  <c r="K232" i="30" s="1"/>
  <c r="E232" i="30" s="1"/>
  <c r="N232" i="30"/>
  <c r="Q232" i="30"/>
  <c r="R232" i="30" s="1"/>
  <c r="O232" i="30" s="1"/>
  <c r="E233" i="30"/>
  <c r="G233" i="30"/>
  <c r="I233" i="30"/>
  <c r="K233" i="30" s="1"/>
  <c r="Q233" i="30"/>
  <c r="R233" i="30" s="1"/>
  <c r="N233" i="30" s="1"/>
  <c r="G234" i="30"/>
  <c r="I234" i="30"/>
  <c r="K234" i="30" s="1"/>
  <c r="E234" i="30" s="1"/>
  <c r="N234" i="30"/>
  <c r="Q234" i="30"/>
  <c r="R234" i="30" s="1"/>
  <c r="O234" i="30" s="1"/>
  <c r="E235" i="30"/>
  <c r="G235" i="30"/>
  <c r="I235" i="30"/>
  <c r="K235" i="30" s="1"/>
  <c r="Q235" i="30"/>
  <c r="R235" i="30" s="1"/>
  <c r="N235" i="30" s="1"/>
  <c r="G236" i="30"/>
  <c r="I236" i="30"/>
  <c r="K236" i="30" s="1"/>
  <c r="E236" i="30" s="1"/>
  <c r="N236" i="30"/>
  <c r="Q236" i="30"/>
  <c r="R236" i="30" s="1"/>
  <c r="O236" i="30" s="1"/>
  <c r="E237" i="30"/>
  <c r="G237" i="30"/>
  <c r="I237" i="30"/>
  <c r="K237" i="30" s="1"/>
  <c r="Q237" i="30"/>
  <c r="R237" i="30" s="1"/>
  <c r="N237" i="30" s="1"/>
  <c r="G238" i="30"/>
  <c r="I238" i="30"/>
  <c r="K238" i="30" s="1"/>
  <c r="E238" i="30" s="1"/>
  <c r="N238" i="30"/>
  <c r="Q238" i="30"/>
  <c r="R238" i="30" s="1"/>
  <c r="O238" i="30" s="1"/>
  <c r="E239" i="30"/>
  <c r="G239" i="30"/>
  <c r="I239" i="30"/>
  <c r="K239" i="30" s="1"/>
  <c r="Q239" i="30"/>
  <c r="R239" i="30" s="1"/>
  <c r="N239" i="30" s="1"/>
  <c r="G240" i="30"/>
  <c r="I240" i="30"/>
  <c r="K240" i="30" s="1"/>
  <c r="E240" i="30" s="1"/>
  <c r="N240" i="30"/>
  <c r="Q240" i="30"/>
  <c r="R240" i="30" s="1"/>
  <c r="O240" i="30" s="1"/>
  <c r="E241" i="30"/>
  <c r="G241" i="30"/>
  <c r="I241" i="30"/>
  <c r="K241" i="30" s="1"/>
  <c r="Q241" i="30"/>
  <c r="R241" i="30" s="1"/>
  <c r="N241" i="30" s="1"/>
  <c r="G242" i="30"/>
  <c r="I242" i="30"/>
  <c r="K242" i="30" s="1"/>
  <c r="E242" i="30" s="1"/>
  <c r="N242" i="30"/>
  <c r="Q242" i="30"/>
  <c r="R242" i="30" s="1"/>
  <c r="O242" i="30" s="1"/>
  <c r="E243" i="30"/>
  <c r="G243" i="30"/>
  <c r="I243" i="30"/>
  <c r="K243" i="30" s="1"/>
  <c r="Q243" i="30"/>
  <c r="R243" i="30" s="1"/>
  <c r="G244" i="30"/>
  <c r="I244" i="30"/>
  <c r="K244" i="30" s="1"/>
  <c r="E244" i="30" s="1"/>
  <c r="N244" i="30"/>
  <c r="Q244" i="30"/>
  <c r="R244" i="30" s="1"/>
  <c r="O244" i="30" s="1"/>
  <c r="E245" i="30"/>
  <c r="G245" i="30"/>
  <c r="I245" i="30"/>
  <c r="K245" i="30" s="1"/>
  <c r="Q245" i="30"/>
  <c r="R245" i="30" s="1"/>
  <c r="G246" i="30"/>
  <c r="I246" i="30"/>
  <c r="K246" i="30" s="1"/>
  <c r="E246" i="30" s="1"/>
  <c r="N246" i="30"/>
  <c r="Q246" i="30"/>
  <c r="R246" i="30" s="1"/>
  <c r="O246" i="30" s="1"/>
  <c r="E247" i="30"/>
  <c r="G247" i="30"/>
  <c r="I247" i="30"/>
  <c r="K247" i="30" s="1"/>
  <c r="Q247" i="30"/>
  <c r="R247" i="30" s="1"/>
  <c r="G248" i="30"/>
  <c r="I248" i="30"/>
  <c r="K248" i="30" s="1"/>
  <c r="E248" i="30" s="1"/>
  <c r="N248" i="30"/>
  <c r="Q248" i="30"/>
  <c r="R248" i="30" s="1"/>
  <c r="O248" i="30" s="1"/>
  <c r="E249" i="30"/>
  <c r="G249" i="30"/>
  <c r="I249" i="30"/>
  <c r="K249" i="30" s="1"/>
  <c r="Q249" i="30"/>
  <c r="R249" i="30" s="1"/>
  <c r="G250" i="30"/>
  <c r="I250" i="30"/>
  <c r="K250" i="30" s="1"/>
  <c r="E250" i="30" s="1"/>
  <c r="N250" i="30"/>
  <c r="Q250" i="30"/>
  <c r="R250" i="30" s="1"/>
  <c r="O250" i="30" s="1"/>
  <c r="E251" i="30"/>
  <c r="G251" i="30"/>
  <c r="I251" i="30"/>
  <c r="K251" i="30" s="1"/>
  <c r="Q251" i="30"/>
  <c r="R251" i="30" s="1"/>
  <c r="G252" i="30"/>
  <c r="I252" i="30"/>
  <c r="K252" i="30" s="1"/>
  <c r="E252" i="30" s="1"/>
  <c r="N252" i="30"/>
  <c r="Q252" i="30"/>
  <c r="R252" i="30" s="1"/>
  <c r="O252" i="30" s="1"/>
  <c r="E253" i="30"/>
  <c r="G253" i="30"/>
  <c r="I253" i="30"/>
  <c r="K253" i="30" s="1"/>
  <c r="Q253" i="30"/>
  <c r="R253" i="30" s="1"/>
  <c r="G254" i="30"/>
  <c r="I254" i="30"/>
  <c r="K254" i="30" s="1"/>
  <c r="E254" i="30" s="1"/>
  <c r="N254" i="30"/>
  <c r="Q254" i="30"/>
  <c r="R254" i="30" s="1"/>
  <c r="O254" i="30" s="1"/>
  <c r="E255" i="30"/>
  <c r="G255" i="30"/>
  <c r="I255" i="30"/>
  <c r="K255" i="30" s="1"/>
  <c r="Q255" i="30"/>
  <c r="R255" i="30" s="1"/>
  <c r="I256" i="30"/>
  <c r="K256" i="30"/>
  <c r="Q256" i="30"/>
  <c r="R256" i="30"/>
  <c r="I257" i="30"/>
  <c r="K257" i="30"/>
  <c r="Q257" i="30"/>
  <c r="R257" i="30"/>
  <c r="I258" i="30"/>
  <c r="K258" i="30"/>
  <c r="Q258" i="30"/>
  <c r="R258" i="30"/>
  <c r="I259" i="30"/>
  <c r="K259" i="30"/>
  <c r="Q259" i="30"/>
  <c r="R259" i="30"/>
  <c r="I260" i="30"/>
  <c r="K260" i="30"/>
  <c r="Q260" i="30"/>
  <c r="R260" i="30"/>
  <c r="I261" i="30"/>
  <c r="K261" i="30"/>
  <c r="Q261" i="30"/>
  <c r="R261" i="30"/>
  <c r="I262" i="30"/>
  <c r="K262" i="30"/>
  <c r="Q262" i="30"/>
  <c r="R262" i="30"/>
  <c r="I263" i="30"/>
  <c r="K263" i="30"/>
  <c r="Q263" i="30"/>
  <c r="R263" i="30"/>
  <c r="I264" i="30"/>
  <c r="K264" i="30"/>
  <c r="Q264" i="30"/>
  <c r="R264" i="30"/>
  <c r="I265" i="30"/>
  <c r="K265" i="30"/>
  <c r="Q265" i="30"/>
  <c r="R265" i="30"/>
  <c r="I266" i="30"/>
  <c r="K266" i="30"/>
  <c r="Q266" i="30"/>
  <c r="R266" i="30"/>
  <c r="I267" i="30"/>
  <c r="K267" i="30"/>
  <c r="Q267" i="30"/>
  <c r="R267" i="30"/>
  <c r="I268" i="30"/>
  <c r="K268" i="30"/>
  <c r="Q268" i="30"/>
  <c r="R268" i="30"/>
  <c r="I269" i="30"/>
  <c r="K269" i="30"/>
  <c r="Q269" i="30"/>
  <c r="R269" i="30"/>
  <c r="I270" i="30"/>
  <c r="K270" i="30"/>
  <c r="Q270" i="30"/>
  <c r="R270" i="30"/>
  <c r="I271" i="30"/>
  <c r="K271" i="30"/>
  <c r="Q271" i="30"/>
  <c r="R271" i="30"/>
  <c r="I272" i="30"/>
  <c r="K272" i="30"/>
  <c r="Q272" i="30"/>
  <c r="R272" i="30"/>
  <c r="I273" i="30"/>
  <c r="K273" i="30"/>
  <c r="Q273" i="30"/>
  <c r="R273" i="30"/>
  <c r="I274" i="30"/>
  <c r="K274" i="30"/>
  <c r="Q274" i="30"/>
  <c r="R274" i="30"/>
  <c r="I275" i="30"/>
  <c r="K275" i="30"/>
  <c r="Q275" i="30"/>
  <c r="R275" i="30"/>
  <c r="I276" i="30"/>
  <c r="K276" i="30"/>
  <c r="Q276" i="30"/>
  <c r="R276" i="30"/>
  <c r="I277" i="30"/>
  <c r="K277" i="30"/>
  <c r="Q277" i="30"/>
  <c r="R277" i="30"/>
  <c r="I278" i="30"/>
  <c r="K278" i="30"/>
  <c r="Q278" i="30"/>
  <c r="R278" i="30"/>
  <c r="I279" i="30"/>
  <c r="K279" i="30"/>
  <c r="Q279" i="30"/>
  <c r="R279" i="30"/>
  <c r="I280" i="30"/>
  <c r="K280" i="30"/>
  <c r="Q280" i="30"/>
  <c r="R280" i="30"/>
  <c r="I281" i="30"/>
  <c r="K281" i="30"/>
  <c r="Q281" i="30"/>
  <c r="R281" i="30"/>
  <c r="I282" i="30"/>
  <c r="K282" i="30"/>
  <c r="Q282" i="30"/>
  <c r="R282" i="30"/>
  <c r="I283" i="30"/>
  <c r="K283" i="30"/>
  <c r="Q283" i="30"/>
  <c r="R283" i="30"/>
  <c r="I284" i="30"/>
  <c r="K284" i="30"/>
  <c r="Q284" i="30"/>
  <c r="R284" i="30"/>
  <c r="I285" i="30"/>
  <c r="K285" i="30"/>
  <c r="Q285" i="30"/>
  <c r="R285" i="30"/>
  <c r="I286" i="30"/>
  <c r="K286" i="30"/>
  <c r="Q286" i="30"/>
  <c r="R286" i="30"/>
  <c r="I287" i="30"/>
  <c r="K287" i="30"/>
  <c r="Q287" i="30"/>
  <c r="R287" i="30"/>
  <c r="I288" i="30"/>
  <c r="K288" i="30"/>
  <c r="Q288" i="30"/>
  <c r="R288" i="30"/>
  <c r="I289" i="30"/>
  <c r="K289" i="30"/>
  <c r="Q289" i="30"/>
  <c r="R289" i="30"/>
  <c r="I290" i="30"/>
  <c r="K290" i="30"/>
  <c r="Q290" i="30"/>
  <c r="R290" i="30"/>
  <c r="I291" i="30"/>
  <c r="K291" i="30"/>
  <c r="Q291" i="30"/>
  <c r="R291" i="30"/>
  <c r="I292" i="30"/>
  <c r="K292" i="30"/>
  <c r="Q292" i="30"/>
  <c r="R292" i="30"/>
  <c r="I293" i="30"/>
  <c r="K293" i="30"/>
  <c r="Q293" i="30"/>
  <c r="R293" i="30"/>
  <c r="I294" i="30"/>
  <c r="K294" i="30"/>
  <c r="Q294" i="30"/>
  <c r="R294" i="30"/>
  <c r="I295" i="30"/>
  <c r="K295" i="30"/>
  <c r="Q295" i="30"/>
  <c r="R295" i="30"/>
  <c r="I296" i="30"/>
  <c r="K296" i="30"/>
  <c r="Q296" i="30"/>
  <c r="R296" i="30"/>
  <c r="I297" i="30"/>
  <c r="K297" i="30"/>
  <c r="Q297" i="30"/>
  <c r="R297" i="30"/>
  <c r="I298" i="30"/>
  <c r="K298" i="30"/>
  <c r="Q298" i="30"/>
  <c r="R298" i="30"/>
  <c r="I299" i="30"/>
  <c r="K299" i="30"/>
  <c r="Q299" i="30"/>
  <c r="R299" i="30"/>
  <c r="I300" i="30"/>
  <c r="K300" i="30"/>
  <c r="Q300" i="30"/>
  <c r="R300" i="30"/>
  <c r="I301" i="30"/>
  <c r="K301" i="30"/>
  <c r="Q301" i="30"/>
  <c r="R301" i="30"/>
  <c r="I302" i="30"/>
  <c r="K302" i="30"/>
  <c r="Q302" i="30"/>
  <c r="R302" i="30"/>
  <c r="I303" i="30"/>
  <c r="K303" i="30"/>
  <c r="Q303" i="30"/>
  <c r="R303" i="30"/>
  <c r="I304" i="30"/>
  <c r="K304" i="30"/>
  <c r="Q304" i="30"/>
  <c r="R304" i="30"/>
  <c r="G305" i="30"/>
  <c r="I305" i="30"/>
  <c r="K305" i="30"/>
  <c r="E305" i="30" s="1"/>
  <c r="O305" i="30"/>
  <c r="Q305" i="30"/>
  <c r="R305" i="30"/>
  <c r="N305" i="30" s="1"/>
  <c r="I306" i="30"/>
  <c r="K306" i="30"/>
  <c r="E306" i="30" s="1"/>
  <c r="Q306" i="30"/>
  <c r="R306" i="30"/>
  <c r="N306" i="30" s="1"/>
  <c r="G307" i="30"/>
  <c r="I307" i="30"/>
  <c r="K307" i="30"/>
  <c r="E307" i="30" s="1"/>
  <c r="O307" i="30"/>
  <c r="Q307" i="30"/>
  <c r="R307" i="30"/>
  <c r="N307" i="30" s="1"/>
  <c r="I308" i="30"/>
  <c r="K308" i="30"/>
  <c r="E308" i="30" s="1"/>
  <c r="Q308" i="30"/>
  <c r="R308" i="30"/>
  <c r="N308" i="30" s="1"/>
  <c r="G309" i="30"/>
  <c r="I309" i="30"/>
  <c r="K309" i="30"/>
  <c r="E309" i="30" s="1"/>
  <c r="O309" i="30"/>
  <c r="Q309" i="30"/>
  <c r="R309" i="30"/>
  <c r="N309" i="30" s="1"/>
  <c r="I310" i="30"/>
  <c r="K310" i="30"/>
  <c r="E310" i="30" s="1"/>
  <c r="Q310" i="30"/>
  <c r="R310" i="30"/>
  <c r="N310" i="30" s="1"/>
  <c r="G311" i="30"/>
  <c r="I311" i="30"/>
  <c r="K311" i="30"/>
  <c r="E311" i="30" s="1"/>
  <c r="O311" i="30"/>
  <c r="Q311" i="30"/>
  <c r="R311" i="30"/>
  <c r="N311" i="30" s="1"/>
  <c r="I312" i="30"/>
  <c r="K312" i="30"/>
  <c r="E312" i="30" s="1"/>
  <c r="Q312" i="30"/>
  <c r="R312" i="30"/>
  <c r="N312" i="30" s="1"/>
  <c r="G313" i="30"/>
  <c r="I313" i="30"/>
  <c r="K313" i="30"/>
  <c r="E313" i="30" s="1"/>
  <c r="O313" i="30"/>
  <c r="Q313" i="30"/>
  <c r="R313" i="30"/>
  <c r="N313" i="30" s="1"/>
  <c r="I314" i="30"/>
  <c r="K314" i="30"/>
  <c r="E314" i="30" s="1"/>
  <c r="Q314" i="30"/>
  <c r="R314" i="30"/>
  <c r="N314" i="30" s="1"/>
  <c r="G315" i="30"/>
  <c r="I315" i="30"/>
  <c r="K315" i="30"/>
  <c r="E315" i="30" s="1"/>
  <c r="O315" i="30"/>
  <c r="Q315" i="30"/>
  <c r="R315" i="30"/>
  <c r="N315" i="30" s="1"/>
  <c r="I316" i="30"/>
  <c r="K316" i="30"/>
  <c r="E316" i="30" s="1"/>
  <c r="Q316" i="30"/>
  <c r="R316" i="30"/>
  <c r="G317" i="30"/>
  <c r="I317" i="30"/>
  <c r="K317" i="30"/>
  <c r="E317" i="30" s="1"/>
  <c r="O317" i="30"/>
  <c r="Q317" i="30"/>
  <c r="R317" i="30"/>
  <c r="N317" i="30" s="1"/>
  <c r="I318" i="30"/>
  <c r="K318" i="30"/>
  <c r="E318" i="30" s="1"/>
  <c r="Q318" i="30"/>
  <c r="R318" i="30"/>
  <c r="G319" i="30"/>
  <c r="I319" i="30"/>
  <c r="K319" i="30"/>
  <c r="E319" i="30" s="1"/>
  <c r="O319" i="30"/>
  <c r="Q319" i="30"/>
  <c r="R319" i="30"/>
  <c r="N319" i="30" s="1"/>
  <c r="I320" i="30"/>
  <c r="K320" i="30"/>
  <c r="E320" i="30" s="1"/>
  <c r="Q320" i="30"/>
  <c r="R320" i="30"/>
  <c r="G321" i="30"/>
  <c r="I321" i="30"/>
  <c r="K321" i="30"/>
  <c r="E321" i="30" s="1"/>
  <c r="O321" i="30"/>
  <c r="Q321" i="30"/>
  <c r="R321" i="30"/>
  <c r="N321" i="30" s="1"/>
  <c r="I322" i="30"/>
  <c r="K322" i="30"/>
  <c r="E322" i="30" s="1"/>
  <c r="Q322" i="30"/>
  <c r="R322" i="30"/>
  <c r="G323" i="30"/>
  <c r="I323" i="30"/>
  <c r="K323" i="30"/>
  <c r="E323" i="30" s="1"/>
  <c r="O323" i="30"/>
  <c r="Q323" i="30"/>
  <c r="R323" i="30"/>
  <c r="N323" i="30" s="1"/>
  <c r="I324" i="30"/>
  <c r="K324" i="30"/>
  <c r="E324" i="30" s="1"/>
  <c r="Q324" i="30"/>
  <c r="R324" i="30"/>
  <c r="G325" i="30"/>
  <c r="I325" i="30"/>
  <c r="K325" i="30"/>
  <c r="E325" i="30" s="1"/>
  <c r="O325" i="30"/>
  <c r="Q325" i="30"/>
  <c r="R325" i="30"/>
  <c r="N325" i="30" s="1"/>
  <c r="I326" i="30"/>
  <c r="K326" i="30"/>
  <c r="E326" i="30" s="1"/>
  <c r="Q326" i="30"/>
  <c r="R326" i="30"/>
  <c r="G327" i="30"/>
  <c r="I327" i="30"/>
  <c r="K327" i="30"/>
  <c r="E327" i="30" s="1"/>
  <c r="O327" i="30"/>
  <c r="Q327" i="30"/>
  <c r="R327" i="30"/>
  <c r="N327" i="30" s="1"/>
  <c r="I328" i="30"/>
  <c r="K328" i="30" s="1"/>
  <c r="Q328" i="30"/>
  <c r="R328" i="30"/>
  <c r="I329" i="30"/>
  <c r="K329" i="30" s="1"/>
  <c r="O329" i="30"/>
  <c r="Q329" i="30"/>
  <c r="R329" i="30"/>
  <c r="N329" i="30" s="1"/>
  <c r="I330" i="30"/>
  <c r="K330" i="30" s="1"/>
  <c r="Q330" i="30"/>
  <c r="R330" i="30"/>
  <c r="I331" i="30"/>
  <c r="K331" i="30" s="1"/>
  <c r="O331" i="30"/>
  <c r="Q331" i="30"/>
  <c r="R331" i="30"/>
  <c r="N331" i="30" s="1"/>
  <c r="I332" i="30"/>
  <c r="K332" i="30" s="1"/>
  <c r="Q332" i="30"/>
  <c r="R332" i="30"/>
  <c r="I333" i="30"/>
  <c r="K333" i="30" s="1"/>
  <c r="O333" i="30"/>
  <c r="Q333" i="30"/>
  <c r="R333" i="30"/>
  <c r="N333" i="30" s="1"/>
  <c r="I334" i="30"/>
  <c r="K334" i="30" s="1"/>
  <c r="Q334" i="30"/>
  <c r="R334" i="30"/>
  <c r="I335" i="30"/>
  <c r="K335" i="30" s="1"/>
  <c r="O335" i="30"/>
  <c r="Q335" i="30"/>
  <c r="R335" i="30"/>
  <c r="N335" i="30" s="1"/>
  <c r="I336" i="30"/>
  <c r="K336" i="30" s="1"/>
  <c r="Q336" i="30"/>
  <c r="R336" i="30"/>
  <c r="I337" i="30"/>
  <c r="K337" i="30" s="1"/>
  <c r="O337" i="30"/>
  <c r="Q337" i="30"/>
  <c r="R337" i="30"/>
  <c r="N337" i="30" s="1"/>
  <c r="I338" i="30"/>
  <c r="K338" i="30" s="1"/>
  <c r="Q338" i="30"/>
  <c r="R338" i="30"/>
  <c r="I339" i="30"/>
  <c r="K339" i="30" s="1"/>
  <c r="O339" i="30"/>
  <c r="Q339" i="30"/>
  <c r="R339" i="30"/>
  <c r="N339" i="30" s="1"/>
  <c r="I340" i="30"/>
  <c r="K340" i="30" s="1"/>
  <c r="Q340" i="30"/>
  <c r="R340" i="30"/>
  <c r="I341" i="30"/>
  <c r="K341" i="30" s="1"/>
  <c r="O341" i="30"/>
  <c r="Q341" i="30"/>
  <c r="R341" i="30"/>
  <c r="N341" i="30" s="1"/>
  <c r="I342" i="30"/>
  <c r="K342" i="30" s="1"/>
  <c r="Q342" i="30"/>
  <c r="R342" i="30"/>
  <c r="N342" i="30" s="1"/>
  <c r="I343" i="30"/>
  <c r="K343" i="30" s="1"/>
  <c r="Q343" i="30"/>
  <c r="R343" i="30"/>
  <c r="N343" i="30" s="1"/>
  <c r="I344" i="30"/>
  <c r="K344" i="30" s="1"/>
  <c r="Q344" i="30"/>
  <c r="R344" i="30"/>
  <c r="N344" i="30" s="1"/>
  <c r="I345" i="30"/>
  <c r="K345" i="30" s="1"/>
  <c r="Q345" i="30"/>
  <c r="R345" i="30"/>
  <c r="N345" i="30" s="1"/>
  <c r="I346" i="30"/>
  <c r="K346" i="30" s="1"/>
  <c r="Q346" i="30"/>
  <c r="R346" i="30"/>
  <c r="N346" i="30" s="1"/>
  <c r="I347" i="30"/>
  <c r="K347" i="30" s="1"/>
  <c r="Q347" i="30"/>
  <c r="R347" i="30"/>
  <c r="N347" i="30" s="1"/>
  <c r="I348" i="30"/>
  <c r="K348" i="30" s="1"/>
  <c r="Q348" i="30"/>
  <c r="R348" i="30"/>
  <c r="N348" i="30" s="1"/>
  <c r="I349" i="30"/>
  <c r="K349" i="30" s="1"/>
  <c r="Q349" i="30"/>
  <c r="R349" i="30"/>
  <c r="N349" i="30" s="1"/>
  <c r="I350" i="30"/>
  <c r="K350" i="30" s="1"/>
  <c r="Q350" i="30"/>
  <c r="R350" i="30"/>
  <c r="N350" i="30" s="1"/>
  <c r="I351" i="30"/>
  <c r="K351" i="30" s="1"/>
  <c r="Q351" i="30"/>
  <c r="R351" i="30"/>
  <c r="N351" i="30" s="1"/>
  <c r="I352" i="30"/>
  <c r="K352" i="30" s="1"/>
  <c r="Q352" i="30"/>
  <c r="R352" i="30"/>
  <c r="N352" i="30" s="1"/>
  <c r="I353" i="30"/>
  <c r="K353" i="30" s="1"/>
  <c r="Q353" i="30"/>
  <c r="R353" i="30"/>
  <c r="N353" i="30" s="1"/>
  <c r="I354" i="30"/>
  <c r="K354" i="30" s="1"/>
  <c r="Q354" i="30"/>
  <c r="R354" i="30"/>
  <c r="N354" i="30" s="1"/>
  <c r="I355" i="30"/>
  <c r="K355" i="30" s="1"/>
  <c r="Q355" i="30"/>
  <c r="R355" i="30"/>
  <c r="N355" i="30" s="1"/>
  <c r="I356" i="30"/>
  <c r="K356" i="30" s="1"/>
  <c r="Q356" i="30"/>
  <c r="R356" i="30"/>
  <c r="N356" i="30" s="1"/>
  <c r="I357" i="30"/>
  <c r="K357" i="30" s="1"/>
  <c r="Q357" i="30"/>
  <c r="R357" i="30"/>
  <c r="N357" i="30" s="1"/>
  <c r="I358" i="30"/>
  <c r="K358" i="30" s="1"/>
  <c r="Q358" i="30"/>
  <c r="R358" i="30"/>
  <c r="N358" i="30" s="1"/>
  <c r="I359" i="30"/>
  <c r="K359" i="30" s="1"/>
  <c r="Q359" i="30"/>
  <c r="R359" i="30"/>
  <c r="N359" i="30" s="1"/>
  <c r="I360" i="30"/>
  <c r="K360" i="30" s="1"/>
  <c r="Q360" i="30"/>
  <c r="R360" i="30"/>
  <c r="N360" i="30" s="1"/>
  <c r="I361" i="30"/>
  <c r="K361" i="30" s="1"/>
  <c r="Q361" i="30"/>
  <c r="R361" i="30"/>
  <c r="N361" i="30" s="1"/>
  <c r="I362" i="30"/>
  <c r="K362" i="30" s="1"/>
  <c r="Q362" i="30"/>
  <c r="R362" i="30"/>
  <c r="N362" i="30" s="1"/>
  <c r="I363" i="30"/>
  <c r="K363" i="30" s="1"/>
  <c r="Q363" i="30"/>
  <c r="R363" i="30"/>
  <c r="N363" i="30" s="1"/>
  <c r="I364" i="30"/>
  <c r="K364" i="30" s="1"/>
  <c r="Q364" i="30"/>
  <c r="R364" i="30"/>
  <c r="N364" i="30" s="1"/>
  <c r="I365" i="30"/>
  <c r="K365" i="30" s="1"/>
  <c r="Q365" i="30"/>
  <c r="R365" i="30"/>
  <c r="N365" i="30" s="1"/>
  <c r="I366" i="30"/>
  <c r="K366" i="30" s="1"/>
  <c r="Q366" i="30"/>
  <c r="R366" i="30"/>
  <c r="N366" i="30" s="1"/>
  <c r="I367" i="30"/>
  <c r="K367" i="30" s="1"/>
  <c r="Q367" i="30"/>
  <c r="R367" i="30"/>
  <c r="N367" i="30" s="1"/>
  <c r="I368" i="30"/>
  <c r="K368" i="30" s="1"/>
  <c r="Q368" i="30"/>
  <c r="R368" i="30"/>
  <c r="N368" i="30" s="1"/>
  <c r="I369" i="30"/>
  <c r="K369" i="30" s="1"/>
  <c r="Q369" i="30"/>
  <c r="R369" i="30"/>
  <c r="N369" i="30" s="1"/>
  <c r="I370" i="30"/>
  <c r="K370" i="30" s="1"/>
  <c r="Q370" i="30"/>
  <c r="R370" i="30"/>
  <c r="N370" i="30" s="1"/>
  <c r="I371" i="30"/>
  <c r="K371" i="30" s="1"/>
  <c r="Q371" i="30"/>
  <c r="R371" i="30"/>
  <c r="N371" i="30" s="1"/>
  <c r="I372" i="30"/>
  <c r="K372" i="30" s="1"/>
  <c r="Q372" i="30"/>
  <c r="R372" i="30"/>
  <c r="N372" i="30" s="1"/>
  <c r="I373" i="30"/>
  <c r="K373" i="30" s="1"/>
  <c r="Q373" i="30"/>
  <c r="R373" i="30"/>
  <c r="N373" i="30" s="1"/>
  <c r="I374" i="30"/>
  <c r="K374" i="30" s="1"/>
  <c r="Q374" i="30"/>
  <c r="R374" i="30"/>
  <c r="N374" i="30" s="1"/>
  <c r="I375" i="30"/>
  <c r="K375" i="30" s="1"/>
  <c r="Q375" i="30"/>
  <c r="R375" i="30"/>
  <c r="N375" i="30" s="1"/>
  <c r="I376" i="30"/>
  <c r="K376" i="30" s="1"/>
  <c r="Q376" i="30"/>
  <c r="R376" i="30"/>
  <c r="N376" i="30" s="1"/>
  <c r="I377" i="30"/>
  <c r="K377" i="30" s="1"/>
  <c r="Q377" i="30"/>
  <c r="R377" i="30"/>
  <c r="N377" i="30" s="1"/>
  <c r="I378" i="30"/>
  <c r="K378" i="30" s="1"/>
  <c r="Q378" i="30"/>
  <c r="R378" i="30"/>
  <c r="N378" i="30" s="1"/>
  <c r="I379" i="30"/>
  <c r="K379" i="30" s="1"/>
  <c r="Q379" i="30"/>
  <c r="R379" i="30"/>
  <c r="N379" i="30" s="1"/>
  <c r="I380" i="30"/>
  <c r="K380" i="30" s="1"/>
  <c r="Q380" i="30"/>
  <c r="R380" i="30"/>
  <c r="N380" i="30" s="1"/>
  <c r="I381" i="30"/>
  <c r="K381" i="30" s="1"/>
  <c r="Q381" i="30"/>
  <c r="R381" i="30"/>
  <c r="N381" i="30" s="1"/>
  <c r="I382" i="30"/>
  <c r="K382" i="30" s="1"/>
  <c r="Q382" i="30"/>
  <c r="R382" i="30"/>
  <c r="N382" i="30" s="1"/>
  <c r="I383" i="30"/>
  <c r="K383" i="30" s="1"/>
  <c r="Q383" i="30"/>
  <c r="R383" i="30"/>
  <c r="N383" i="30" s="1"/>
  <c r="I384" i="30"/>
  <c r="K384" i="30" s="1"/>
  <c r="Q384" i="30"/>
  <c r="R384" i="30"/>
  <c r="N384" i="30" s="1"/>
  <c r="I385" i="30"/>
  <c r="K385" i="30" s="1"/>
  <c r="Q385" i="30"/>
  <c r="R385" i="30"/>
  <c r="N385" i="30" s="1"/>
  <c r="I386" i="30"/>
  <c r="K386" i="30" s="1"/>
  <c r="Q386" i="30"/>
  <c r="R386" i="30"/>
  <c r="N386" i="30" s="1"/>
  <c r="I387" i="30"/>
  <c r="K387" i="30" s="1"/>
  <c r="Q387" i="30"/>
  <c r="R387" i="30"/>
  <c r="N387" i="30" s="1"/>
  <c r="I388" i="30"/>
  <c r="K388" i="30" s="1"/>
  <c r="Q388" i="30"/>
  <c r="R388" i="30"/>
  <c r="N388" i="30" s="1"/>
  <c r="I389" i="30"/>
  <c r="K389" i="30" s="1"/>
  <c r="Q389" i="30"/>
  <c r="R389" i="30"/>
  <c r="N389" i="30" s="1"/>
  <c r="I390" i="30"/>
  <c r="K390" i="30" s="1"/>
  <c r="Q390" i="30"/>
  <c r="R390" i="30"/>
  <c r="N390" i="30" s="1"/>
  <c r="I391" i="30"/>
  <c r="K391" i="30" s="1"/>
  <c r="Q391" i="30"/>
  <c r="R391" i="30"/>
  <c r="N391" i="30" s="1"/>
  <c r="I392" i="30"/>
  <c r="K392" i="30" s="1"/>
  <c r="Q392" i="30"/>
  <c r="R392" i="30"/>
  <c r="N392" i="30" s="1"/>
  <c r="I393" i="30"/>
  <c r="K393" i="30" s="1"/>
  <c r="Q393" i="30"/>
  <c r="R393" i="30"/>
  <c r="N393" i="30" s="1"/>
  <c r="I394" i="30"/>
  <c r="K394" i="30" s="1"/>
  <c r="Q394" i="30"/>
  <c r="R394" i="30"/>
  <c r="N394" i="30" s="1"/>
  <c r="I395" i="30"/>
  <c r="K395" i="30" s="1"/>
  <c r="Q395" i="30"/>
  <c r="R395" i="30"/>
  <c r="N395" i="30" s="1"/>
  <c r="I396" i="30"/>
  <c r="K396" i="30" s="1"/>
  <c r="Q396" i="30"/>
  <c r="R396" i="30"/>
  <c r="N396" i="30" s="1"/>
  <c r="I397" i="30"/>
  <c r="K397" i="30" s="1"/>
  <c r="N397" i="30"/>
  <c r="Q397" i="30"/>
  <c r="R397" i="30" s="1"/>
  <c r="O397" i="30" s="1"/>
  <c r="E398" i="30"/>
  <c r="I398" i="30"/>
  <c r="K398" i="30" s="1"/>
  <c r="G398" i="30" s="1"/>
  <c r="N398" i="30"/>
  <c r="Q398" i="30"/>
  <c r="R398" i="30" s="1"/>
  <c r="O398" i="30" s="1"/>
  <c r="I399" i="30"/>
  <c r="K399" i="30" s="1"/>
  <c r="Q399" i="30"/>
  <c r="R399" i="30" s="1"/>
  <c r="I400" i="30"/>
  <c r="K400" i="30"/>
  <c r="G400" i="30" s="1"/>
  <c r="Q400" i="30"/>
  <c r="R400" i="30" s="1"/>
  <c r="I401" i="30"/>
  <c r="K401" i="30" s="1"/>
  <c r="Q401" i="30"/>
  <c r="R401" i="30" s="1"/>
  <c r="I402" i="30"/>
  <c r="K402" i="30"/>
  <c r="G402" i="30" s="1"/>
  <c r="Q402" i="30"/>
  <c r="R402" i="30" s="1"/>
  <c r="I403" i="30"/>
  <c r="K403" i="30" s="1"/>
  <c r="Q403" i="30"/>
  <c r="R403" i="30" s="1"/>
  <c r="I404" i="30"/>
  <c r="K404" i="30"/>
  <c r="G404" i="30" s="1"/>
  <c r="Q404" i="30"/>
  <c r="R404" i="30" s="1"/>
  <c r="I405" i="30"/>
  <c r="K405" i="30" s="1"/>
  <c r="Q405" i="30"/>
  <c r="R405" i="30" s="1"/>
  <c r="I406" i="30"/>
  <c r="K406" i="30" s="1"/>
  <c r="Q406" i="30"/>
  <c r="R406" i="30" s="1"/>
  <c r="I407" i="30"/>
  <c r="K407" i="30" s="1"/>
  <c r="Q407" i="30"/>
  <c r="R407" i="30" s="1"/>
  <c r="I408" i="30"/>
  <c r="K408" i="30" s="1"/>
  <c r="Q408" i="30"/>
  <c r="R408" i="30" s="1"/>
  <c r="I409" i="30"/>
  <c r="K409" i="30" s="1"/>
  <c r="Q409" i="30"/>
  <c r="R409" i="30" s="1"/>
  <c r="I410" i="30"/>
  <c r="K410" i="30" s="1"/>
  <c r="Q410" i="30"/>
  <c r="R410" i="30" s="1"/>
  <c r="I411" i="30"/>
  <c r="K411" i="30" s="1"/>
  <c r="Q411" i="30"/>
  <c r="R411" i="30" s="1"/>
  <c r="I412" i="30"/>
  <c r="K412" i="30" s="1"/>
  <c r="Q412" i="30"/>
  <c r="R412" i="30" s="1"/>
  <c r="I413" i="30"/>
  <c r="K413" i="30" s="1"/>
  <c r="Q413" i="30"/>
  <c r="R413" i="30" s="1"/>
  <c r="I414" i="30"/>
  <c r="K414" i="30" s="1"/>
  <c r="Q414" i="30"/>
  <c r="R414" i="30" s="1"/>
  <c r="I415" i="30"/>
  <c r="K415" i="30" s="1"/>
  <c r="Q415" i="30"/>
  <c r="R415" i="30" s="1"/>
  <c r="I416" i="30"/>
  <c r="K416" i="30" s="1"/>
  <c r="Q416" i="30"/>
  <c r="R416" i="30" s="1"/>
  <c r="I417" i="30"/>
  <c r="K417" i="30" s="1"/>
  <c r="Q417" i="30"/>
  <c r="R417" i="30" s="1"/>
  <c r="I418" i="30"/>
  <c r="K418" i="30" s="1"/>
  <c r="Q418" i="30"/>
  <c r="R418" i="30" s="1"/>
  <c r="I419" i="30"/>
  <c r="K419" i="30" s="1"/>
  <c r="Q419" i="30"/>
  <c r="R419" i="30" s="1"/>
  <c r="I420" i="30"/>
  <c r="K420" i="30" s="1"/>
  <c r="Q420" i="30"/>
  <c r="R420" i="30" s="1"/>
  <c r="I421" i="30"/>
  <c r="K421" i="30" s="1"/>
  <c r="Q421" i="30"/>
  <c r="R421" i="30" s="1"/>
  <c r="I422" i="30"/>
  <c r="K422" i="30" s="1"/>
  <c r="Q422" i="30"/>
  <c r="R422" i="30" s="1"/>
  <c r="I423" i="30"/>
  <c r="K423" i="30" s="1"/>
  <c r="Q423" i="30"/>
  <c r="R423" i="30" s="1"/>
  <c r="I424" i="30"/>
  <c r="K424" i="30" s="1"/>
  <c r="Q424" i="30"/>
  <c r="R424" i="30" s="1"/>
  <c r="I425" i="30"/>
  <c r="K425" i="30" s="1"/>
  <c r="Q425" i="30"/>
  <c r="R425" i="30" s="1"/>
  <c r="I426" i="30"/>
  <c r="K426" i="30" s="1"/>
  <c r="Q426" i="30"/>
  <c r="R426" i="30" s="1"/>
  <c r="I427" i="30"/>
  <c r="K427" i="30" s="1"/>
  <c r="Q427" i="30"/>
  <c r="R427" i="30" s="1"/>
  <c r="I428" i="30"/>
  <c r="K428" i="30" s="1"/>
  <c r="Q428" i="30"/>
  <c r="R428" i="30" s="1"/>
  <c r="I429" i="30"/>
  <c r="K429" i="30" s="1"/>
  <c r="Q429" i="30"/>
  <c r="R429" i="30" s="1"/>
  <c r="I430" i="30"/>
  <c r="K430" i="30" s="1"/>
  <c r="Q430" i="30"/>
  <c r="R430" i="30" s="1"/>
  <c r="I431" i="30"/>
  <c r="K431" i="30" s="1"/>
  <c r="Q431" i="30"/>
  <c r="R431" i="30" s="1"/>
  <c r="I432" i="30"/>
  <c r="K432" i="30" s="1"/>
  <c r="Q432" i="30"/>
  <c r="R432" i="30" s="1"/>
  <c r="I433" i="30"/>
  <c r="K433" i="30" s="1"/>
  <c r="Q433" i="30"/>
  <c r="R433" i="30" s="1"/>
  <c r="I434" i="30"/>
  <c r="K434" i="30" s="1"/>
  <c r="Q434" i="30"/>
  <c r="R434" i="30" s="1"/>
  <c r="I435" i="30"/>
  <c r="K435" i="30" s="1"/>
  <c r="Q435" i="30"/>
  <c r="R435" i="30" s="1"/>
  <c r="I436" i="30"/>
  <c r="K436" i="30" s="1"/>
  <c r="Q436" i="30"/>
  <c r="R436" i="30" s="1"/>
  <c r="I437" i="30"/>
  <c r="K437" i="30" s="1"/>
  <c r="Q437" i="30"/>
  <c r="R437" i="30" s="1"/>
  <c r="I438" i="30"/>
  <c r="K438" i="30" s="1"/>
  <c r="Q438" i="30"/>
  <c r="R438" i="30" s="1"/>
  <c r="I439" i="30"/>
  <c r="K439" i="30" s="1"/>
  <c r="Q439" i="30"/>
  <c r="R439" i="30" s="1"/>
  <c r="I440" i="30"/>
  <c r="K440" i="30" s="1"/>
  <c r="Q440" i="30"/>
  <c r="R440" i="30" s="1"/>
  <c r="I441" i="30"/>
  <c r="K441" i="30" s="1"/>
  <c r="Q441" i="30"/>
  <c r="R441" i="30" s="1"/>
  <c r="I442" i="30"/>
  <c r="K442" i="30" s="1"/>
  <c r="Q442" i="30"/>
  <c r="R442" i="30" s="1"/>
  <c r="I443" i="30"/>
  <c r="K443" i="30" s="1"/>
  <c r="Q443" i="30"/>
  <c r="R443" i="30" s="1"/>
  <c r="I444" i="30"/>
  <c r="K444" i="30" s="1"/>
  <c r="Q444" i="30"/>
  <c r="R444" i="30" s="1"/>
  <c r="I445" i="30"/>
  <c r="K445" i="30" s="1"/>
  <c r="Q445" i="30"/>
  <c r="R445" i="30" s="1"/>
  <c r="I446" i="30"/>
  <c r="K446" i="30" s="1"/>
  <c r="Q446" i="30"/>
  <c r="R446" i="30" s="1"/>
  <c r="I447" i="30"/>
  <c r="K447" i="30" s="1"/>
  <c r="Q447" i="30"/>
  <c r="R447" i="30" s="1"/>
  <c r="I448" i="30"/>
  <c r="K448" i="30" s="1"/>
  <c r="Q448" i="30"/>
  <c r="R448" i="30" s="1"/>
  <c r="I449" i="30"/>
  <c r="K449" i="30" s="1"/>
  <c r="Q449" i="30"/>
  <c r="R449" i="30" s="1"/>
  <c r="I450" i="30"/>
  <c r="K450" i="30" s="1"/>
  <c r="Q450" i="30"/>
  <c r="R450" i="30" s="1"/>
  <c r="I451" i="30"/>
  <c r="K451" i="30" s="1"/>
  <c r="Q451" i="30"/>
  <c r="R451" i="30" s="1"/>
  <c r="I452" i="30"/>
  <c r="K452" i="30" s="1"/>
  <c r="Q452" i="30"/>
  <c r="R452" i="30" s="1"/>
  <c r="I453" i="30"/>
  <c r="K453" i="30" s="1"/>
  <c r="Q453" i="30"/>
  <c r="R453" i="30" s="1"/>
  <c r="I454" i="30"/>
  <c r="K454" i="30" s="1"/>
  <c r="Q454" i="30"/>
  <c r="R454" i="30" s="1"/>
  <c r="I455" i="30"/>
  <c r="K455" i="30" s="1"/>
  <c r="Q455" i="30"/>
  <c r="R455" i="30" s="1"/>
  <c r="I456" i="30"/>
  <c r="K456" i="30" s="1"/>
  <c r="Q456" i="30"/>
  <c r="R456" i="30" s="1"/>
  <c r="I457" i="30"/>
  <c r="K457" i="30" s="1"/>
  <c r="Q457" i="30"/>
  <c r="R457" i="30" s="1"/>
  <c r="I458" i="30"/>
  <c r="K458" i="30" s="1"/>
  <c r="Q458" i="30"/>
  <c r="R458" i="30" s="1"/>
  <c r="I459" i="30"/>
  <c r="K459" i="30" s="1"/>
  <c r="Q459" i="30"/>
  <c r="R459" i="30" s="1"/>
  <c r="I460" i="30"/>
  <c r="K460" i="30" s="1"/>
  <c r="Q460" i="30"/>
  <c r="R460" i="30" s="1"/>
  <c r="I461" i="30"/>
  <c r="K461" i="30" s="1"/>
  <c r="Q461" i="30"/>
  <c r="R461" i="30" s="1"/>
  <c r="I462" i="30"/>
  <c r="K462" i="30" s="1"/>
  <c r="Q462" i="30"/>
  <c r="R462" i="30" s="1"/>
  <c r="I463" i="30"/>
  <c r="K463" i="30" s="1"/>
  <c r="Q463" i="30"/>
  <c r="R463" i="30" s="1"/>
  <c r="I464" i="30"/>
  <c r="K464" i="30" s="1"/>
  <c r="Q464" i="30"/>
  <c r="R464" i="30" s="1"/>
  <c r="I465" i="30"/>
  <c r="K465" i="30" s="1"/>
  <c r="Q465" i="30"/>
  <c r="R465" i="30" s="1"/>
  <c r="I466" i="30"/>
  <c r="K466" i="30" s="1"/>
  <c r="Q466" i="30"/>
  <c r="R466" i="30" s="1"/>
  <c r="I467" i="30"/>
  <c r="K467" i="30" s="1"/>
  <c r="Q467" i="30"/>
  <c r="R467" i="30" s="1"/>
  <c r="I468" i="30"/>
  <c r="K468" i="30" s="1"/>
  <c r="Q468" i="30"/>
  <c r="R468" i="30" s="1"/>
  <c r="I469" i="30"/>
  <c r="K469" i="30" s="1"/>
  <c r="Q469" i="30"/>
  <c r="R469" i="30" s="1"/>
  <c r="I470" i="30"/>
  <c r="K470" i="30" s="1"/>
  <c r="Q470" i="30"/>
  <c r="R470" i="30" s="1"/>
  <c r="I471" i="30"/>
  <c r="K471" i="30" s="1"/>
  <c r="Q471" i="30"/>
  <c r="R471" i="30" s="1"/>
  <c r="I472" i="30"/>
  <c r="K472" i="30" s="1"/>
  <c r="Q472" i="30"/>
  <c r="R472" i="30" s="1"/>
  <c r="I473" i="30"/>
  <c r="K473" i="30" s="1"/>
  <c r="Q473" i="30"/>
  <c r="R473" i="30" s="1"/>
  <c r="I474" i="30"/>
  <c r="K474" i="30" s="1"/>
  <c r="Q474" i="30"/>
  <c r="R474" i="30" s="1"/>
  <c r="I475" i="30"/>
  <c r="K475" i="30" s="1"/>
  <c r="Q475" i="30"/>
  <c r="R475" i="30" s="1"/>
  <c r="I476" i="30"/>
  <c r="K476" i="30" s="1"/>
  <c r="Q476" i="30"/>
  <c r="R476" i="30" s="1"/>
  <c r="I477" i="30"/>
  <c r="K477" i="30" s="1"/>
  <c r="Q477" i="30"/>
  <c r="R477" i="30" s="1"/>
  <c r="I478" i="30"/>
  <c r="K478" i="30" s="1"/>
  <c r="Q478" i="30"/>
  <c r="R478" i="30" s="1"/>
  <c r="I479" i="30"/>
  <c r="K479" i="30" s="1"/>
  <c r="Q479" i="30"/>
  <c r="R479" i="30" s="1"/>
  <c r="I480" i="30"/>
  <c r="K480" i="30" s="1"/>
  <c r="Q480" i="30"/>
  <c r="R480" i="30" s="1"/>
  <c r="I481" i="30"/>
  <c r="K481" i="30" s="1"/>
  <c r="Q481" i="30"/>
  <c r="R481" i="30" s="1"/>
  <c r="I482" i="30"/>
  <c r="K482" i="30" s="1"/>
  <c r="Q482" i="30"/>
  <c r="R482" i="30" s="1"/>
  <c r="I483" i="30"/>
  <c r="K483" i="30" s="1"/>
  <c r="Q483" i="30"/>
  <c r="R483" i="30" s="1"/>
  <c r="I484" i="30"/>
  <c r="K484" i="30" s="1"/>
  <c r="Q484" i="30"/>
  <c r="R484" i="30" s="1"/>
  <c r="I485" i="30"/>
  <c r="K485" i="30" s="1"/>
  <c r="Q485" i="30"/>
  <c r="R485" i="30" s="1"/>
  <c r="I486" i="30"/>
  <c r="K486" i="30" s="1"/>
  <c r="Q486" i="30"/>
  <c r="R486" i="30" s="1"/>
  <c r="I487" i="30"/>
  <c r="K487" i="30" s="1"/>
  <c r="Q487" i="30"/>
  <c r="R487" i="30" s="1"/>
  <c r="E488" i="30"/>
  <c r="I488" i="30"/>
  <c r="K488" i="30" s="1"/>
  <c r="G488" i="30" s="1"/>
  <c r="N488" i="30"/>
  <c r="Q488" i="30"/>
  <c r="R488" i="30" s="1"/>
  <c r="O488" i="30" s="1"/>
  <c r="E489" i="30"/>
  <c r="I489" i="30"/>
  <c r="K489" i="30" s="1"/>
  <c r="G489" i="30" s="1"/>
  <c r="N489" i="30"/>
  <c r="Q489" i="30"/>
  <c r="R489" i="30" s="1"/>
  <c r="O489" i="30" s="1"/>
  <c r="E490" i="30"/>
  <c r="I490" i="30"/>
  <c r="K490" i="30" s="1"/>
  <c r="G490" i="30" s="1"/>
  <c r="N490" i="30"/>
  <c r="Q490" i="30"/>
  <c r="R490" i="30" s="1"/>
  <c r="O490" i="30" s="1"/>
  <c r="E491" i="30"/>
  <c r="I491" i="30"/>
  <c r="K491" i="30" s="1"/>
  <c r="G491" i="30" s="1"/>
  <c r="N491" i="30"/>
  <c r="Q491" i="30"/>
  <c r="R491" i="30" s="1"/>
  <c r="O491" i="30" s="1"/>
  <c r="E492" i="30"/>
  <c r="I492" i="30"/>
  <c r="K492" i="30" s="1"/>
  <c r="G492" i="30" s="1"/>
  <c r="N492" i="30"/>
  <c r="Q492" i="30"/>
  <c r="R492" i="30" s="1"/>
  <c r="O492" i="30" s="1"/>
  <c r="I493" i="30"/>
  <c r="K493" i="30" s="1"/>
  <c r="G493" i="30" s="1"/>
  <c r="N493" i="30"/>
  <c r="Q493" i="30"/>
  <c r="R493" i="30" s="1"/>
  <c r="O493" i="30" s="1"/>
  <c r="I494" i="30"/>
  <c r="K494" i="30" s="1"/>
  <c r="G494" i="30" s="1"/>
  <c r="N494" i="30"/>
  <c r="Q494" i="30"/>
  <c r="R494" i="30" s="1"/>
  <c r="O494" i="30" s="1"/>
  <c r="I495" i="30"/>
  <c r="K495" i="30" s="1"/>
  <c r="G495" i="30" s="1"/>
  <c r="N495" i="30"/>
  <c r="Q495" i="30"/>
  <c r="R495" i="30" s="1"/>
  <c r="O495" i="30" s="1"/>
  <c r="I496" i="30"/>
  <c r="K496" i="30" s="1"/>
  <c r="G496" i="30" s="1"/>
  <c r="N496" i="30"/>
  <c r="O496" i="30"/>
  <c r="Q496" i="30"/>
  <c r="R496" i="30" s="1"/>
  <c r="G497" i="30"/>
  <c r="I497" i="30"/>
  <c r="K497" i="30" s="1"/>
  <c r="E497" i="30" s="1"/>
  <c r="Q497" i="30"/>
  <c r="R497" i="30" s="1"/>
  <c r="N497" i="30" s="1"/>
  <c r="I498" i="30"/>
  <c r="K498" i="30" s="1"/>
  <c r="E498" i="30" s="1"/>
  <c r="N498" i="30"/>
  <c r="O498" i="30"/>
  <c r="Q498" i="30"/>
  <c r="R498" i="30" s="1"/>
  <c r="G499" i="30"/>
  <c r="I499" i="30"/>
  <c r="K499" i="30" s="1"/>
  <c r="E499" i="30" s="1"/>
  <c r="Q499" i="30"/>
  <c r="R499" i="30" s="1"/>
  <c r="N499" i="30" s="1"/>
  <c r="E500" i="30"/>
  <c r="I500" i="30"/>
  <c r="K500" i="30" s="1"/>
  <c r="G500" i="30" s="1"/>
  <c r="N500" i="30"/>
  <c r="O500" i="30"/>
  <c r="Q500" i="30"/>
  <c r="R500" i="30" s="1"/>
  <c r="G501" i="30"/>
  <c r="I501" i="30"/>
  <c r="K501" i="30" s="1"/>
  <c r="E501" i="30" s="1"/>
  <c r="Q501" i="30"/>
  <c r="R501" i="30" s="1"/>
  <c r="N501" i="30" s="1"/>
  <c r="E502" i="30"/>
  <c r="I502" i="30"/>
  <c r="K502" i="30" s="1"/>
  <c r="G502" i="30" s="1"/>
  <c r="N502" i="30"/>
  <c r="O502" i="30"/>
  <c r="Q502" i="30"/>
  <c r="R502" i="30" s="1"/>
  <c r="G503" i="30"/>
  <c r="I503" i="30"/>
  <c r="K503" i="30" s="1"/>
  <c r="E503" i="30" s="1"/>
  <c r="Q503" i="30"/>
  <c r="R503" i="30" s="1"/>
  <c r="N503" i="30" s="1"/>
  <c r="E504" i="30"/>
  <c r="I504" i="30"/>
  <c r="K504" i="30" s="1"/>
  <c r="G504" i="30" s="1"/>
  <c r="N504" i="30"/>
  <c r="O504" i="30"/>
  <c r="Q504" i="30"/>
  <c r="R504" i="30" s="1"/>
  <c r="G505" i="30"/>
  <c r="I505" i="30"/>
  <c r="K505" i="30" s="1"/>
  <c r="E505" i="30" s="1"/>
  <c r="Q505" i="30"/>
  <c r="R505" i="30" s="1"/>
  <c r="N505" i="30" s="1"/>
  <c r="E506" i="30"/>
  <c r="I506" i="30"/>
  <c r="K506" i="30" s="1"/>
  <c r="G506" i="30" s="1"/>
  <c r="N506" i="30"/>
  <c r="O506" i="30"/>
  <c r="Q506" i="30"/>
  <c r="R506" i="30" s="1"/>
  <c r="I507" i="30"/>
  <c r="K507" i="30" s="1"/>
  <c r="G507" i="30" s="1"/>
  <c r="Q507" i="30"/>
  <c r="R507" i="30" s="1"/>
  <c r="N507" i="30" s="1"/>
  <c r="E508" i="30"/>
  <c r="I508" i="30"/>
  <c r="K508" i="30" s="1"/>
  <c r="G508" i="30" s="1"/>
  <c r="N508" i="30"/>
  <c r="O508" i="30"/>
  <c r="Q508" i="30"/>
  <c r="R508" i="30" s="1"/>
  <c r="I509" i="30"/>
  <c r="K509" i="30" s="1"/>
  <c r="G509" i="30" s="1"/>
  <c r="Q509" i="30"/>
  <c r="R509" i="30" s="1"/>
  <c r="N509" i="30" s="1"/>
  <c r="E510" i="30"/>
  <c r="I510" i="30"/>
  <c r="K510" i="30" s="1"/>
  <c r="G510" i="30" s="1"/>
  <c r="N510" i="30"/>
  <c r="O510" i="30"/>
  <c r="Q510" i="30"/>
  <c r="R510" i="30" s="1"/>
  <c r="I511" i="30"/>
  <c r="K511" i="30" s="1"/>
  <c r="G511" i="30" s="1"/>
  <c r="Q511" i="30"/>
  <c r="R511" i="30" s="1"/>
  <c r="N511" i="30" s="1"/>
  <c r="E512" i="30"/>
  <c r="I512" i="30"/>
  <c r="K512" i="30" s="1"/>
  <c r="G512" i="30" s="1"/>
  <c r="N512" i="30"/>
  <c r="O512" i="30"/>
  <c r="Q512" i="30"/>
  <c r="R512" i="30" s="1"/>
  <c r="I513" i="30"/>
  <c r="K513" i="30" s="1"/>
  <c r="G513" i="30" s="1"/>
  <c r="Q513" i="30"/>
  <c r="R513" i="30" s="1"/>
  <c r="N513" i="30" s="1"/>
  <c r="E514" i="30"/>
  <c r="I514" i="30"/>
  <c r="K514" i="30" s="1"/>
  <c r="G514" i="30" s="1"/>
  <c r="N514" i="30"/>
  <c r="O514" i="30"/>
  <c r="Q514" i="30"/>
  <c r="R514" i="30" s="1"/>
  <c r="I515" i="30"/>
  <c r="K515" i="30" s="1"/>
  <c r="G515" i="30" s="1"/>
  <c r="Q515" i="30"/>
  <c r="R515" i="30" s="1"/>
  <c r="N515" i="30" s="1"/>
  <c r="E516" i="30"/>
  <c r="I516" i="30"/>
  <c r="K516" i="30" s="1"/>
  <c r="G516" i="30" s="1"/>
  <c r="N516" i="30"/>
  <c r="O516" i="30"/>
  <c r="Q516" i="30"/>
  <c r="R516" i="30" s="1"/>
  <c r="I517" i="30"/>
  <c r="K517" i="30" s="1"/>
  <c r="G517" i="30" s="1"/>
  <c r="Q517" i="30"/>
  <c r="R517" i="30" s="1"/>
  <c r="N517" i="30" s="1"/>
  <c r="E518" i="30"/>
  <c r="I518" i="30"/>
  <c r="K518" i="30" s="1"/>
  <c r="G518" i="30" s="1"/>
  <c r="N518" i="30"/>
  <c r="O518" i="30"/>
  <c r="Q518" i="30"/>
  <c r="R518" i="30" s="1"/>
  <c r="I519" i="30"/>
  <c r="K519" i="30" s="1"/>
  <c r="G519" i="30" s="1"/>
  <c r="Q519" i="30"/>
  <c r="R519" i="30" s="1"/>
  <c r="N519" i="30" s="1"/>
  <c r="E520" i="30"/>
  <c r="I520" i="30"/>
  <c r="K520" i="30" s="1"/>
  <c r="G520" i="30" s="1"/>
  <c r="N520" i="30"/>
  <c r="O520" i="30"/>
  <c r="Q520" i="30"/>
  <c r="R520" i="30" s="1"/>
  <c r="I521" i="30"/>
  <c r="K521" i="30" s="1"/>
  <c r="G521" i="30" s="1"/>
  <c r="Q521" i="30"/>
  <c r="R521" i="30" s="1"/>
  <c r="N521" i="30" s="1"/>
  <c r="E522" i="30"/>
  <c r="I522" i="30"/>
  <c r="K522" i="30" s="1"/>
  <c r="G522" i="30" s="1"/>
  <c r="N522" i="30"/>
  <c r="O522" i="30"/>
  <c r="Q522" i="30"/>
  <c r="R522" i="30" s="1"/>
  <c r="I523" i="30"/>
  <c r="K523" i="30" s="1"/>
  <c r="G523" i="30" s="1"/>
  <c r="Q523" i="30"/>
  <c r="R523" i="30" s="1"/>
  <c r="N523" i="30" s="1"/>
  <c r="E524" i="30"/>
  <c r="I524" i="30"/>
  <c r="K524" i="30" s="1"/>
  <c r="G524" i="30" s="1"/>
  <c r="N524" i="30"/>
  <c r="O524" i="30"/>
  <c r="Q524" i="30"/>
  <c r="R524" i="30" s="1"/>
  <c r="I525" i="30"/>
  <c r="K525" i="30" s="1"/>
  <c r="G525" i="30" s="1"/>
  <c r="Q525" i="30"/>
  <c r="R525" i="30" s="1"/>
  <c r="N525" i="30" s="1"/>
  <c r="E526" i="30"/>
  <c r="I526" i="30"/>
  <c r="K526" i="30" s="1"/>
  <c r="G526" i="30" s="1"/>
  <c r="N526" i="30"/>
  <c r="O526" i="30"/>
  <c r="Q526" i="30"/>
  <c r="R526" i="30" s="1"/>
  <c r="I527" i="30"/>
  <c r="K527" i="30" s="1"/>
  <c r="G527" i="30" s="1"/>
  <c r="Q527" i="30"/>
  <c r="R527" i="30" s="1"/>
  <c r="N527" i="30" s="1"/>
  <c r="E528" i="30"/>
  <c r="I528" i="30"/>
  <c r="K528" i="30" s="1"/>
  <c r="G528" i="30" s="1"/>
  <c r="N528" i="30"/>
  <c r="O528" i="30"/>
  <c r="Q528" i="30"/>
  <c r="R528" i="30" s="1"/>
  <c r="I529" i="30"/>
  <c r="K529" i="30" s="1"/>
  <c r="G529" i="30" s="1"/>
  <c r="Q529" i="30"/>
  <c r="R529" i="30" s="1"/>
  <c r="N529" i="30" s="1"/>
  <c r="E530" i="30"/>
  <c r="I530" i="30"/>
  <c r="K530" i="30" s="1"/>
  <c r="G530" i="30" s="1"/>
  <c r="N530" i="30"/>
  <c r="O530" i="30"/>
  <c r="Q530" i="30"/>
  <c r="R530" i="30" s="1"/>
  <c r="I531" i="30"/>
  <c r="K531" i="30" s="1"/>
  <c r="G531" i="30" s="1"/>
  <c r="Q531" i="30"/>
  <c r="R531" i="30" s="1"/>
  <c r="N531" i="30" s="1"/>
  <c r="E532" i="30"/>
  <c r="I532" i="30"/>
  <c r="K532" i="30" s="1"/>
  <c r="G532" i="30" s="1"/>
  <c r="N532" i="30"/>
  <c r="O532" i="30"/>
  <c r="Q532" i="30"/>
  <c r="R532" i="30" s="1"/>
  <c r="I533" i="30"/>
  <c r="K533" i="30" s="1"/>
  <c r="G533" i="30" s="1"/>
  <c r="Q533" i="30"/>
  <c r="R533" i="30" s="1"/>
  <c r="N533" i="30" s="1"/>
  <c r="E534" i="30"/>
  <c r="I534" i="30"/>
  <c r="K534" i="30" s="1"/>
  <c r="G534" i="30" s="1"/>
  <c r="N534" i="30"/>
  <c r="O534" i="30"/>
  <c r="Q534" i="30"/>
  <c r="R534" i="30" s="1"/>
  <c r="I535" i="30"/>
  <c r="K535" i="30" s="1"/>
  <c r="G535" i="30" s="1"/>
  <c r="Q535" i="30"/>
  <c r="R535" i="30" s="1"/>
  <c r="N535" i="30" s="1"/>
  <c r="E536" i="30"/>
  <c r="I536" i="30"/>
  <c r="K536" i="30" s="1"/>
  <c r="G536" i="30" s="1"/>
  <c r="N536" i="30"/>
  <c r="O536" i="30"/>
  <c r="Q536" i="30"/>
  <c r="R536" i="30" s="1"/>
  <c r="I537" i="30"/>
  <c r="K537" i="30" s="1"/>
  <c r="Q537" i="30"/>
  <c r="R537" i="30" s="1"/>
  <c r="N537" i="30" s="1"/>
  <c r="E538" i="30"/>
  <c r="I538" i="30"/>
  <c r="K538" i="30" s="1"/>
  <c r="G538" i="30" s="1"/>
  <c r="N538" i="30"/>
  <c r="O538" i="30"/>
  <c r="Q538" i="30"/>
  <c r="R538" i="30" s="1"/>
  <c r="I539" i="30"/>
  <c r="K539" i="30" s="1"/>
  <c r="Q539" i="30"/>
  <c r="R539" i="30" s="1"/>
  <c r="N539" i="30" s="1"/>
  <c r="E540" i="30"/>
  <c r="I540" i="30"/>
  <c r="K540" i="30" s="1"/>
  <c r="G540" i="30" s="1"/>
  <c r="N540" i="30"/>
  <c r="O540" i="30"/>
  <c r="Q540" i="30"/>
  <c r="R540" i="30" s="1"/>
  <c r="I541" i="30"/>
  <c r="K541" i="30" s="1"/>
  <c r="Q541" i="30"/>
  <c r="R541" i="30" s="1"/>
  <c r="N541" i="30" s="1"/>
  <c r="E542" i="30"/>
  <c r="I542" i="30"/>
  <c r="K542" i="30" s="1"/>
  <c r="G542" i="30" s="1"/>
  <c r="N542" i="30"/>
  <c r="O542" i="30"/>
  <c r="Q542" i="30"/>
  <c r="R542" i="30" s="1"/>
  <c r="I543" i="30"/>
  <c r="K543" i="30" s="1"/>
  <c r="Q543" i="30"/>
  <c r="R543" i="30" s="1"/>
  <c r="N543" i="30" s="1"/>
  <c r="E544" i="30"/>
  <c r="I544" i="30"/>
  <c r="K544" i="30" s="1"/>
  <c r="G544" i="30" s="1"/>
  <c r="N544" i="30"/>
  <c r="O544" i="30"/>
  <c r="Q544" i="30"/>
  <c r="R544" i="30" s="1"/>
  <c r="I545" i="30"/>
  <c r="K545" i="30" s="1"/>
  <c r="Q545" i="30"/>
  <c r="R545" i="30" s="1"/>
  <c r="N545" i="30" s="1"/>
  <c r="E546" i="30"/>
  <c r="I546" i="30"/>
  <c r="K546" i="30" s="1"/>
  <c r="G546" i="30" s="1"/>
  <c r="N546" i="30"/>
  <c r="O546" i="30"/>
  <c r="Q546" i="30"/>
  <c r="R546" i="30" s="1"/>
  <c r="I547" i="30"/>
  <c r="K547" i="30" s="1"/>
  <c r="Q547" i="30"/>
  <c r="R547" i="30" s="1"/>
  <c r="N547" i="30" s="1"/>
  <c r="E548" i="30"/>
  <c r="I548" i="30"/>
  <c r="K548" i="30" s="1"/>
  <c r="G548" i="30" s="1"/>
  <c r="N548" i="30"/>
  <c r="O548" i="30"/>
  <c r="Q548" i="30"/>
  <c r="R548" i="30" s="1"/>
  <c r="I549" i="30"/>
  <c r="K549" i="30" s="1"/>
  <c r="Q549" i="30"/>
  <c r="R549" i="30" s="1"/>
  <c r="N549" i="30" s="1"/>
  <c r="E550" i="30"/>
  <c r="I550" i="30"/>
  <c r="K550" i="30" s="1"/>
  <c r="G550" i="30" s="1"/>
  <c r="N550" i="30"/>
  <c r="O550" i="30"/>
  <c r="Q550" i="30"/>
  <c r="R550" i="30" s="1"/>
  <c r="I551" i="30"/>
  <c r="K551" i="30" s="1"/>
  <c r="Q551" i="30"/>
  <c r="R551" i="30" s="1"/>
  <c r="N551" i="30" s="1"/>
  <c r="E552" i="30"/>
  <c r="I552" i="30"/>
  <c r="K552" i="30"/>
  <c r="G552" i="30" s="1"/>
  <c r="N552" i="30"/>
  <c r="Q552" i="30"/>
  <c r="R552" i="30"/>
  <c r="O552" i="30" s="1"/>
  <c r="E553" i="30"/>
  <c r="I553" i="30"/>
  <c r="K553" i="30"/>
  <c r="G553" i="30" s="1"/>
  <c r="N553" i="30"/>
  <c r="Q553" i="30"/>
  <c r="R553" i="30"/>
  <c r="O553" i="30" s="1"/>
  <c r="E554" i="30"/>
  <c r="I554" i="30"/>
  <c r="K554" i="30"/>
  <c r="G554" i="30" s="1"/>
  <c r="N554" i="30"/>
  <c r="Q554" i="30"/>
  <c r="R554" i="30"/>
  <c r="O554" i="30" s="1"/>
  <c r="E555" i="30"/>
  <c r="I555" i="30"/>
  <c r="K555" i="30"/>
  <c r="G555" i="30" s="1"/>
  <c r="N555" i="30"/>
  <c r="Q555" i="30"/>
  <c r="R555" i="30"/>
  <c r="O555" i="30" s="1"/>
  <c r="E556" i="30"/>
  <c r="I556" i="30"/>
  <c r="K556" i="30"/>
  <c r="G556" i="30" s="1"/>
  <c r="N556" i="30"/>
  <c r="Q556" i="30"/>
  <c r="R556" i="30"/>
  <c r="O556" i="30" s="1"/>
  <c r="E557" i="30"/>
  <c r="I557" i="30"/>
  <c r="K557" i="30"/>
  <c r="G557" i="30" s="1"/>
  <c r="N557" i="30"/>
  <c r="Q557" i="30"/>
  <c r="R557" i="30"/>
  <c r="O557" i="30" s="1"/>
  <c r="E558" i="30"/>
  <c r="I558" i="30"/>
  <c r="K558" i="30"/>
  <c r="G558" i="30" s="1"/>
  <c r="Q558" i="30"/>
  <c r="R558" i="30"/>
  <c r="O558" i="30" s="1"/>
  <c r="E559" i="30"/>
  <c r="I559" i="30"/>
  <c r="K559" i="30"/>
  <c r="G559" i="30" s="1"/>
  <c r="N559" i="30"/>
  <c r="Q559" i="30"/>
  <c r="R559" i="30"/>
  <c r="O559" i="30" s="1"/>
  <c r="I560" i="30"/>
  <c r="K560" i="30"/>
  <c r="G560" i="30" s="1"/>
  <c r="Q560" i="30"/>
  <c r="R560" i="30"/>
  <c r="O560" i="30" s="1"/>
  <c r="E561" i="30"/>
  <c r="I561" i="30"/>
  <c r="K561" i="30"/>
  <c r="G561" i="30" s="1"/>
  <c r="N561" i="30"/>
  <c r="Q561" i="30"/>
  <c r="R561" i="30"/>
  <c r="O561" i="30" s="1"/>
  <c r="I562" i="30"/>
  <c r="K562" i="30"/>
  <c r="G562" i="30" s="1"/>
  <c r="Q562" i="30"/>
  <c r="R562" i="30"/>
  <c r="O562" i="30" s="1"/>
  <c r="E563" i="30"/>
  <c r="I563" i="30"/>
  <c r="K563" i="30"/>
  <c r="G563" i="30" s="1"/>
  <c r="N563" i="30"/>
  <c r="Q563" i="30"/>
  <c r="R563" i="30"/>
  <c r="O563" i="30" s="1"/>
  <c r="I564" i="30"/>
  <c r="K564" i="30"/>
  <c r="G564" i="30" s="1"/>
  <c r="Q564" i="30"/>
  <c r="R564" i="30"/>
  <c r="O564" i="30" s="1"/>
  <c r="E565" i="30"/>
  <c r="I565" i="30"/>
  <c r="K565" i="30"/>
  <c r="G565" i="30" s="1"/>
  <c r="N565" i="30"/>
  <c r="Q565" i="30"/>
  <c r="R565" i="30"/>
  <c r="O565" i="30" s="1"/>
  <c r="I566" i="30"/>
  <c r="K566" i="30"/>
  <c r="G566" i="30" s="1"/>
  <c r="Q566" i="30"/>
  <c r="R566" i="30"/>
  <c r="O566" i="30" s="1"/>
  <c r="E567" i="30"/>
  <c r="I567" i="30"/>
  <c r="K567" i="30"/>
  <c r="G567" i="30" s="1"/>
  <c r="N567" i="30"/>
  <c r="Q567" i="30"/>
  <c r="R567" i="30"/>
  <c r="O567" i="30" s="1"/>
  <c r="I568" i="30"/>
  <c r="K568" i="30"/>
  <c r="G568" i="30" s="1"/>
  <c r="Q568" i="30"/>
  <c r="R568" i="30"/>
  <c r="O568" i="30" s="1"/>
  <c r="E569" i="30"/>
  <c r="I569" i="30"/>
  <c r="K569" i="30"/>
  <c r="G569" i="30" s="1"/>
  <c r="N569" i="30"/>
  <c r="Q569" i="30"/>
  <c r="R569" i="30"/>
  <c r="O569" i="30" s="1"/>
  <c r="I570" i="30"/>
  <c r="K570" i="30"/>
  <c r="G570" i="30" s="1"/>
  <c r="Q570" i="30"/>
  <c r="R570" i="30"/>
  <c r="O570" i="30" s="1"/>
  <c r="E571" i="30"/>
  <c r="I571" i="30"/>
  <c r="K571" i="30"/>
  <c r="G571" i="30" s="1"/>
  <c r="N571" i="30"/>
  <c r="Q571" i="30"/>
  <c r="R571" i="30"/>
  <c r="O571" i="30" s="1"/>
  <c r="I572" i="30"/>
  <c r="K572" i="30"/>
  <c r="G572" i="30" s="1"/>
  <c r="Q572" i="30"/>
  <c r="R572" i="30"/>
  <c r="O572" i="30" s="1"/>
  <c r="E573" i="30"/>
  <c r="I573" i="30"/>
  <c r="K573" i="30"/>
  <c r="G573" i="30" s="1"/>
  <c r="N573" i="30"/>
  <c r="Q573" i="30"/>
  <c r="R573" i="30"/>
  <c r="O573" i="30" s="1"/>
  <c r="I574" i="30"/>
  <c r="K574" i="30"/>
  <c r="G574" i="30" s="1"/>
  <c r="Q574" i="30"/>
  <c r="R574" i="30"/>
  <c r="O574" i="30" s="1"/>
  <c r="E575" i="30"/>
  <c r="I575" i="30"/>
  <c r="K575" i="30"/>
  <c r="G575" i="30" s="1"/>
  <c r="N575" i="30"/>
  <c r="Q575" i="30"/>
  <c r="R575" i="30"/>
  <c r="O575" i="30" s="1"/>
  <c r="I576" i="30"/>
  <c r="K576" i="30"/>
  <c r="G576" i="30" s="1"/>
  <c r="Q576" i="30"/>
  <c r="R576" i="30"/>
  <c r="O576" i="30" s="1"/>
  <c r="E577" i="30"/>
  <c r="I577" i="30"/>
  <c r="K577" i="30"/>
  <c r="G577" i="30" s="1"/>
  <c r="N577" i="30"/>
  <c r="Q577" i="30"/>
  <c r="R577" i="30"/>
  <c r="O577" i="30" s="1"/>
  <c r="I578" i="30"/>
  <c r="K578" i="30"/>
  <c r="G578" i="30" s="1"/>
  <c r="Q578" i="30"/>
  <c r="R578" i="30"/>
  <c r="O578" i="30" s="1"/>
  <c r="E579" i="30"/>
  <c r="I579" i="30"/>
  <c r="K579" i="30"/>
  <c r="G579" i="30" s="1"/>
  <c r="Q579" i="30"/>
  <c r="R579" i="30" s="1"/>
  <c r="I580" i="30"/>
  <c r="K580" i="30"/>
  <c r="G580" i="30" s="1"/>
  <c r="Q580" i="30"/>
  <c r="R580" i="30"/>
  <c r="O580" i="30" s="1"/>
  <c r="E581" i="30"/>
  <c r="I581" i="30"/>
  <c r="K581" i="30"/>
  <c r="G581" i="30" s="1"/>
  <c r="Q581" i="30"/>
  <c r="R581" i="30" s="1"/>
  <c r="I582" i="30"/>
  <c r="K582" i="30"/>
  <c r="G582" i="30" s="1"/>
  <c r="Q582" i="30"/>
  <c r="R582" i="30"/>
  <c r="O582" i="30" s="1"/>
  <c r="E583" i="30"/>
  <c r="I583" i="30"/>
  <c r="K583" i="30"/>
  <c r="G583" i="30" s="1"/>
  <c r="Q583" i="30"/>
  <c r="R583" i="30" s="1"/>
  <c r="I584" i="30"/>
  <c r="K584" i="30"/>
  <c r="G584" i="30" s="1"/>
  <c r="Q584" i="30"/>
  <c r="R584" i="30"/>
  <c r="O584" i="30" s="1"/>
  <c r="E585" i="30"/>
  <c r="I585" i="30"/>
  <c r="K585" i="30"/>
  <c r="G585" i="30" s="1"/>
  <c r="Q585" i="30"/>
  <c r="R585" i="30" s="1"/>
  <c r="I586" i="30"/>
  <c r="K586" i="30"/>
  <c r="G586" i="30" s="1"/>
  <c r="Q586" i="30"/>
  <c r="R586" i="30"/>
  <c r="O586" i="30" s="1"/>
  <c r="E587" i="30"/>
  <c r="I587" i="30"/>
  <c r="K587" i="30"/>
  <c r="G587" i="30" s="1"/>
  <c r="Q587" i="30"/>
  <c r="R587" i="30" s="1"/>
  <c r="I588" i="30"/>
  <c r="K588" i="30"/>
  <c r="G588" i="30" s="1"/>
  <c r="Q588" i="30"/>
  <c r="R588" i="30"/>
  <c r="O588" i="30" s="1"/>
  <c r="E589" i="30"/>
  <c r="I589" i="30"/>
  <c r="K589" i="30"/>
  <c r="G589" i="30" s="1"/>
  <c r="Q589" i="30"/>
  <c r="R589" i="30" s="1"/>
  <c r="I590" i="30"/>
  <c r="K590" i="30"/>
  <c r="G590" i="30" s="1"/>
  <c r="Q590" i="30"/>
  <c r="R590" i="30"/>
  <c r="O590" i="30" s="1"/>
  <c r="E591" i="30"/>
  <c r="I591" i="30"/>
  <c r="K591" i="30"/>
  <c r="G591" i="30" s="1"/>
  <c r="Q591" i="30"/>
  <c r="R591" i="30" s="1"/>
  <c r="I592" i="30"/>
  <c r="K592" i="30"/>
  <c r="G592" i="30" s="1"/>
  <c r="Q592" i="30"/>
  <c r="R592" i="30"/>
  <c r="O592" i="30" s="1"/>
  <c r="E593" i="30"/>
  <c r="I593" i="30"/>
  <c r="K593" i="30"/>
  <c r="G593" i="30" s="1"/>
  <c r="Q593" i="30"/>
  <c r="R593" i="30" s="1"/>
  <c r="I594" i="30"/>
  <c r="K594" i="30"/>
  <c r="G594" i="30" s="1"/>
  <c r="Q594" i="30"/>
  <c r="R594" i="30"/>
  <c r="O594" i="30" s="1"/>
  <c r="E595" i="30"/>
  <c r="I595" i="30"/>
  <c r="K595" i="30"/>
  <c r="G595" i="30" s="1"/>
  <c r="Q595" i="30"/>
  <c r="R595" i="30" s="1"/>
  <c r="I596" i="30"/>
  <c r="K596" i="30"/>
  <c r="G596" i="30" s="1"/>
  <c r="Q596" i="30"/>
  <c r="R596" i="30"/>
  <c r="O596" i="30" s="1"/>
  <c r="E597" i="30"/>
  <c r="I597" i="30"/>
  <c r="K597" i="30"/>
  <c r="G597" i="30" s="1"/>
  <c r="Q597" i="30"/>
  <c r="R597" i="30" s="1"/>
  <c r="I598" i="30"/>
  <c r="K598" i="30"/>
  <c r="G598" i="30" s="1"/>
  <c r="Q598" i="30"/>
  <c r="R598" i="30"/>
  <c r="O598" i="30" s="1"/>
  <c r="E599" i="30"/>
  <c r="I599" i="30"/>
  <c r="K599" i="30"/>
  <c r="G599" i="30" s="1"/>
  <c r="Q599" i="30"/>
  <c r="R599" i="30" s="1"/>
  <c r="I600" i="30"/>
  <c r="K600" i="30"/>
  <c r="G600" i="30" s="1"/>
  <c r="Q600" i="30"/>
  <c r="R600" i="30"/>
  <c r="N600" i="30" s="1"/>
  <c r="I601" i="30"/>
  <c r="K601" i="30"/>
  <c r="E601" i="30" s="1"/>
  <c r="Q601" i="30"/>
  <c r="R601" i="30"/>
  <c r="N601" i="30" s="1"/>
  <c r="I602" i="30"/>
  <c r="K602" i="30"/>
  <c r="E602" i="30" s="1"/>
  <c r="Q602" i="30"/>
  <c r="R602" i="30"/>
  <c r="N602" i="30" s="1"/>
  <c r="I603" i="30"/>
  <c r="K603" i="30"/>
  <c r="E603" i="30" s="1"/>
  <c r="Q603" i="30"/>
  <c r="R603" i="30"/>
  <c r="N603" i="30" s="1"/>
  <c r="I604" i="30"/>
  <c r="K604" i="30"/>
  <c r="E604" i="30" s="1"/>
  <c r="Q604" i="30"/>
  <c r="R604" i="30"/>
  <c r="N604" i="30" s="1"/>
  <c r="I605" i="30"/>
  <c r="K605" i="30"/>
  <c r="E605" i="30" s="1"/>
  <c r="Q605" i="30"/>
  <c r="R605" i="30"/>
  <c r="N605" i="30" s="1"/>
  <c r="I606" i="30"/>
  <c r="K606" i="30"/>
  <c r="E606" i="30" s="1"/>
  <c r="Q606" i="30"/>
  <c r="R606" i="30"/>
  <c r="N606" i="30" s="1"/>
  <c r="I607" i="30"/>
  <c r="K607" i="30"/>
  <c r="E607" i="30" s="1"/>
  <c r="Q607" i="30"/>
  <c r="R607" i="30"/>
  <c r="N607" i="30" s="1"/>
  <c r="I608" i="30"/>
  <c r="K608" i="30"/>
  <c r="E608" i="30" s="1"/>
  <c r="Q608" i="30"/>
  <c r="R608" i="30"/>
  <c r="N608" i="30" s="1"/>
  <c r="I609" i="30"/>
  <c r="K609" i="30"/>
  <c r="E609" i="30" s="1"/>
  <c r="Q609" i="30"/>
  <c r="R609" i="30"/>
  <c r="N609" i="30" s="1"/>
  <c r="I610" i="30"/>
  <c r="K610" i="30"/>
  <c r="E610" i="30" s="1"/>
  <c r="Q610" i="30"/>
  <c r="R610" i="30"/>
  <c r="N610" i="30" s="1"/>
  <c r="I611" i="30"/>
  <c r="K611" i="30"/>
  <c r="E611" i="30" s="1"/>
  <c r="Q611" i="30"/>
  <c r="R611" i="30"/>
  <c r="N611" i="30" s="1"/>
  <c r="I612" i="30"/>
  <c r="K612" i="30" s="1"/>
  <c r="Q612" i="30"/>
  <c r="R612" i="30" s="1"/>
  <c r="I613" i="30"/>
  <c r="K613" i="30" s="1"/>
  <c r="Q613" i="30"/>
  <c r="R613" i="30" s="1"/>
  <c r="I614" i="30"/>
  <c r="K614" i="30" s="1"/>
  <c r="Q614" i="30"/>
  <c r="R614" i="30" s="1"/>
  <c r="I615" i="30"/>
  <c r="K615" i="30" s="1"/>
  <c r="Q615" i="30"/>
  <c r="R615" i="30" s="1"/>
  <c r="I616" i="30"/>
  <c r="K616" i="30" s="1"/>
  <c r="Q616" i="30"/>
  <c r="R616" i="30" s="1"/>
  <c r="I617" i="30"/>
  <c r="K617" i="30" s="1"/>
  <c r="Q617" i="30"/>
  <c r="R617" i="30" s="1"/>
  <c r="I618" i="30"/>
  <c r="K618" i="30" s="1"/>
  <c r="Q618" i="30"/>
  <c r="R618" i="30" s="1"/>
  <c r="I619" i="30"/>
  <c r="K619" i="30" s="1"/>
  <c r="Q619" i="30"/>
  <c r="R619" i="30" s="1"/>
  <c r="I620" i="30"/>
  <c r="K620" i="30" s="1"/>
  <c r="Q620" i="30"/>
  <c r="R620" i="30" s="1"/>
  <c r="I621" i="30"/>
  <c r="K621" i="30" s="1"/>
  <c r="Q621" i="30"/>
  <c r="R621" i="30" s="1"/>
  <c r="I622" i="30"/>
  <c r="K622" i="30" s="1"/>
  <c r="Q622" i="30"/>
  <c r="R622" i="30" s="1"/>
  <c r="I623" i="30"/>
  <c r="K623" i="30" s="1"/>
  <c r="Q623" i="30"/>
  <c r="R623" i="30" s="1"/>
  <c r="I624" i="30"/>
  <c r="K624" i="30" s="1"/>
  <c r="Q624" i="30"/>
  <c r="R624" i="30" s="1"/>
  <c r="I625" i="30"/>
  <c r="K625" i="30" s="1"/>
  <c r="Q625" i="30"/>
  <c r="R625" i="30" s="1"/>
  <c r="I626" i="30"/>
  <c r="K626" i="30" s="1"/>
  <c r="Q626" i="30"/>
  <c r="R626" i="30" s="1"/>
  <c r="I627" i="30"/>
  <c r="K627" i="30" s="1"/>
  <c r="Q627" i="30"/>
  <c r="R627" i="30" s="1"/>
  <c r="I628" i="30"/>
  <c r="K628" i="30" s="1"/>
  <c r="Q628" i="30"/>
  <c r="R628" i="30" s="1"/>
  <c r="I629" i="30"/>
  <c r="K629" i="30" s="1"/>
  <c r="Q629" i="30"/>
  <c r="R629" i="30" s="1"/>
  <c r="I630" i="30"/>
  <c r="K630" i="30" s="1"/>
  <c r="Q630" i="30"/>
  <c r="R630" i="30" s="1"/>
  <c r="I631" i="30"/>
  <c r="K631" i="30" s="1"/>
  <c r="Q631" i="30"/>
  <c r="R631" i="30" s="1"/>
  <c r="I632" i="30"/>
  <c r="K632" i="30" s="1"/>
  <c r="Q632" i="30"/>
  <c r="R632" i="30" s="1"/>
  <c r="I633" i="30"/>
  <c r="K633" i="30" s="1"/>
  <c r="Q633" i="30"/>
  <c r="R633" i="30" s="1"/>
  <c r="I634" i="30"/>
  <c r="K634" i="30" s="1"/>
  <c r="Q634" i="30"/>
  <c r="R634" i="30" s="1"/>
  <c r="I635" i="30"/>
  <c r="K635" i="30" s="1"/>
  <c r="Q635" i="30"/>
  <c r="R635" i="30" s="1"/>
  <c r="I636" i="30"/>
  <c r="K636" i="30" s="1"/>
  <c r="Q636" i="30"/>
  <c r="R636" i="30" s="1"/>
  <c r="I637" i="30"/>
  <c r="K637" i="30" s="1"/>
  <c r="Q637" i="30"/>
  <c r="R637" i="30" s="1"/>
  <c r="I638" i="30"/>
  <c r="K638" i="30" s="1"/>
  <c r="Q638" i="30"/>
  <c r="R638" i="30" s="1"/>
  <c r="I639" i="30"/>
  <c r="K639" i="30" s="1"/>
  <c r="Q639" i="30"/>
  <c r="R639" i="30" s="1"/>
  <c r="I640" i="30"/>
  <c r="K640" i="30" s="1"/>
  <c r="Q640" i="30"/>
  <c r="R640" i="30" s="1"/>
  <c r="I641" i="30"/>
  <c r="K641" i="30" s="1"/>
  <c r="Q641" i="30"/>
  <c r="R641" i="30" s="1"/>
  <c r="I642" i="30"/>
  <c r="K642" i="30" s="1"/>
  <c r="Q642" i="30"/>
  <c r="R642" i="30" s="1"/>
  <c r="I643" i="30"/>
  <c r="K643" i="30" s="1"/>
  <c r="Q643" i="30"/>
  <c r="R643" i="30" s="1"/>
  <c r="I644" i="30"/>
  <c r="K644" i="30" s="1"/>
  <c r="Q644" i="30"/>
  <c r="R644" i="30" s="1"/>
  <c r="I645" i="30"/>
  <c r="K645" i="30" s="1"/>
  <c r="Q645" i="30"/>
  <c r="R645" i="30" s="1"/>
  <c r="I646" i="30"/>
  <c r="K646" i="30" s="1"/>
  <c r="Q646" i="30"/>
  <c r="R646" i="30" s="1"/>
  <c r="I647" i="30"/>
  <c r="K647" i="30" s="1"/>
  <c r="Q647" i="30"/>
  <c r="R647" i="30" s="1"/>
  <c r="I648" i="30"/>
  <c r="K648" i="30" s="1"/>
  <c r="Q648" i="30"/>
  <c r="R648" i="30" s="1"/>
  <c r="I649" i="30"/>
  <c r="K649" i="30" s="1"/>
  <c r="Q649" i="30"/>
  <c r="R649" i="30" s="1"/>
  <c r="I650" i="30"/>
  <c r="K650" i="30" s="1"/>
  <c r="Q650" i="30"/>
  <c r="R650" i="30" s="1"/>
  <c r="I651" i="30"/>
  <c r="K651" i="30" s="1"/>
  <c r="Q651" i="30"/>
  <c r="R651" i="30" s="1"/>
  <c r="I652" i="30"/>
  <c r="K652" i="30" s="1"/>
  <c r="Q652" i="30"/>
  <c r="R652" i="30" s="1"/>
  <c r="I653" i="30"/>
  <c r="K653" i="30" s="1"/>
  <c r="Q653" i="30"/>
  <c r="R653" i="30" s="1"/>
  <c r="I654" i="30"/>
  <c r="K654" i="30" s="1"/>
  <c r="Q654" i="30"/>
  <c r="R654" i="30" s="1"/>
  <c r="I655" i="30"/>
  <c r="K655" i="30" s="1"/>
  <c r="Q655" i="30"/>
  <c r="R655" i="30" s="1"/>
  <c r="I656" i="30"/>
  <c r="K656" i="30" s="1"/>
  <c r="Q656" i="30"/>
  <c r="R656" i="30" s="1"/>
  <c r="I657" i="30"/>
  <c r="K657" i="30" s="1"/>
  <c r="Q657" i="30"/>
  <c r="R657" i="30" s="1"/>
  <c r="I658" i="30"/>
  <c r="K658" i="30" s="1"/>
  <c r="Q658" i="30"/>
  <c r="R658" i="30" s="1"/>
  <c r="I659" i="30"/>
  <c r="K659" i="30" s="1"/>
  <c r="Q659" i="30"/>
  <c r="R659" i="30" s="1"/>
  <c r="I660" i="30"/>
  <c r="K660" i="30" s="1"/>
  <c r="Q660" i="30"/>
  <c r="R660" i="30" s="1"/>
  <c r="I661" i="30"/>
  <c r="K661" i="30" s="1"/>
  <c r="Q661" i="30"/>
  <c r="R661" i="30" s="1"/>
  <c r="I662" i="30"/>
  <c r="K662" i="30" s="1"/>
  <c r="Q662" i="30"/>
  <c r="R662" i="30" s="1"/>
  <c r="I663" i="30"/>
  <c r="K663" i="30" s="1"/>
  <c r="Q663" i="30"/>
  <c r="R663" i="30" s="1"/>
  <c r="I664" i="30"/>
  <c r="K664" i="30" s="1"/>
  <c r="Q664" i="30"/>
  <c r="R664" i="30" s="1"/>
  <c r="I665" i="30"/>
  <c r="K665" i="30" s="1"/>
  <c r="Q665" i="30"/>
  <c r="R665" i="30" s="1"/>
  <c r="I666" i="30"/>
  <c r="K666" i="30" s="1"/>
  <c r="Q666" i="30"/>
  <c r="R666" i="30" s="1"/>
  <c r="I667" i="30"/>
  <c r="K667" i="30" s="1"/>
  <c r="Q667" i="30"/>
  <c r="R667" i="30" s="1"/>
  <c r="I668" i="30"/>
  <c r="K668" i="30" s="1"/>
  <c r="Q668" i="30"/>
  <c r="R668" i="30" s="1"/>
  <c r="I669" i="30"/>
  <c r="K669" i="30" s="1"/>
  <c r="Q669" i="30"/>
  <c r="R669" i="30" s="1"/>
  <c r="I670" i="30"/>
  <c r="K670" i="30" s="1"/>
  <c r="Q670" i="30"/>
  <c r="R670" i="30" s="1"/>
  <c r="I671" i="30"/>
  <c r="K671" i="30" s="1"/>
  <c r="Q671" i="30"/>
  <c r="R671" i="30" s="1"/>
  <c r="I672" i="30"/>
  <c r="K672" i="30" s="1"/>
  <c r="Q672" i="30"/>
  <c r="R672" i="30" s="1"/>
  <c r="I673" i="30"/>
  <c r="K673" i="30" s="1"/>
  <c r="E673" i="30" s="1"/>
  <c r="Q673" i="30"/>
  <c r="R673" i="30" s="1"/>
  <c r="N673" i="30" s="1"/>
  <c r="I674" i="30"/>
  <c r="K674" i="30" s="1"/>
  <c r="E674" i="30" s="1"/>
  <c r="Q674" i="30"/>
  <c r="R674" i="30" s="1"/>
  <c r="N674" i="30" s="1"/>
  <c r="I675" i="30"/>
  <c r="K675" i="30" s="1"/>
  <c r="E675" i="30" s="1"/>
  <c r="Q675" i="30"/>
  <c r="R675" i="30" s="1"/>
  <c r="N675" i="30" s="1"/>
  <c r="I676" i="30"/>
  <c r="K676" i="30" s="1"/>
  <c r="E676" i="30" s="1"/>
  <c r="Q676" i="30"/>
  <c r="R676" i="30" s="1"/>
  <c r="N676" i="30" s="1"/>
  <c r="I677" i="30"/>
  <c r="K677" i="30" s="1"/>
  <c r="E677" i="30" s="1"/>
  <c r="Q677" i="30"/>
  <c r="R677" i="30" s="1"/>
  <c r="N677" i="30" s="1"/>
  <c r="I678" i="30"/>
  <c r="K678" i="30" s="1"/>
  <c r="E678" i="30" s="1"/>
  <c r="Q678" i="30"/>
  <c r="R678" i="30" s="1"/>
  <c r="N678" i="30" s="1"/>
  <c r="I679" i="30"/>
  <c r="K679" i="30" s="1"/>
  <c r="E679" i="30" s="1"/>
  <c r="Q679" i="30"/>
  <c r="R679" i="30" s="1"/>
  <c r="N679" i="30" s="1"/>
  <c r="I680" i="30"/>
  <c r="K680" i="30" s="1"/>
  <c r="E680" i="30" s="1"/>
  <c r="Q680" i="30"/>
  <c r="R680" i="30" s="1"/>
  <c r="N680" i="30" s="1"/>
  <c r="I681" i="30"/>
  <c r="K681" i="30" s="1"/>
  <c r="E681" i="30" s="1"/>
  <c r="Q681" i="30"/>
  <c r="R681" i="30" s="1"/>
  <c r="N681" i="30" s="1"/>
  <c r="I682" i="30"/>
  <c r="K682" i="30" s="1"/>
  <c r="E682" i="30" s="1"/>
  <c r="Q682" i="30"/>
  <c r="R682" i="30" s="1"/>
  <c r="N682" i="30" s="1"/>
  <c r="I683" i="30"/>
  <c r="K683" i="30" s="1"/>
  <c r="E683" i="30" s="1"/>
  <c r="Q683" i="30"/>
  <c r="R683" i="30" s="1"/>
  <c r="N683" i="30" s="1"/>
  <c r="I684" i="30"/>
  <c r="K684" i="30" s="1"/>
  <c r="E684" i="30" s="1"/>
  <c r="Q684" i="30"/>
  <c r="R684" i="30" s="1"/>
  <c r="N684" i="30" s="1"/>
  <c r="I685" i="30"/>
  <c r="K685" i="30" s="1"/>
  <c r="E685" i="30" s="1"/>
  <c r="Q685" i="30"/>
  <c r="R685" i="30" s="1"/>
  <c r="N685" i="30" s="1"/>
  <c r="I686" i="30"/>
  <c r="K686" i="30" s="1"/>
  <c r="E686" i="30" s="1"/>
  <c r="Q686" i="30"/>
  <c r="R686" i="30" s="1"/>
  <c r="N686" i="30" s="1"/>
  <c r="I687" i="30"/>
  <c r="K687" i="30" s="1"/>
  <c r="E687" i="30" s="1"/>
  <c r="Q687" i="30"/>
  <c r="R687" i="30" s="1"/>
  <c r="N687" i="30" s="1"/>
  <c r="I688" i="30"/>
  <c r="K688" i="30" s="1"/>
  <c r="E688" i="30" s="1"/>
  <c r="Q688" i="30"/>
  <c r="R688" i="30" s="1"/>
  <c r="N688" i="30" s="1"/>
  <c r="I689" i="30"/>
  <c r="K689" i="30" s="1"/>
  <c r="E689" i="30" s="1"/>
  <c r="Q689" i="30"/>
  <c r="R689" i="30" s="1"/>
  <c r="N689" i="30" s="1"/>
  <c r="I690" i="30"/>
  <c r="K690" i="30" s="1"/>
  <c r="E690" i="30" s="1"/>
  <c r="Q690" i="30"/>
  <c r="R690" i="30" s="1"/>
  <c r="N690" i="30" s="1"/>
  <c r="I691" i="30"/>
  <c r="K691" i="30" s="1"/>
  <c r="E691" i="30" s="1"/>
  <c r="Q691" i="30"/>
  <c r="R691" i="30" s="1"/>
  <c r="N691" i="30" s="1"/>
  <c r="I692" i="30"/>
  <c r="K692" i="30" s="1"/>
  <c r="E692" i="30" s="1"/>
  <c r="Q692" i="30"/>
  <c r="R692" i="30" s="1"/>
  <c r="N692" i="30" s="1"/>
  <c r="I693" i="30"/>
  <c r="K693" i="30" s="1"/>
  <c r="E693" i="30" s="1"/>
  <c r="Q693" i="30"/>
  <c r="R693" i="30" s="1"/>
  <c r="N693" i="30" s="1"/>
  <c r="I694" i="30"/>
  <c r="K694" i="30" s="1"/>
  <c r="E694" i="30" s="1"/>
  <c r="Q694" i="30"/>
  <c r="R694" i="30" s="1"/>
  <c r="N694" i="30" s="1"/>
  <c r="I695" i="30"/>
  <c r="K695" i="30" s="1"/>
  <c r="E695" i="30" s="1"/>
  <c r="Q695" i="30"/>
  <c r="R695" i="30" s="1"/>
  <c r="N695" i="30" s="1"/>
  <c r="I696" i="30"/>
  <c r="K696" i="30" s="1"/>
  <c r="E696" i="30" s="1"/>
  <c r="Q696" i="30"/>
  <c r="R696" i="30" s="1"/>
  <c r="N696" i="30" s="1"/>
  <c r="I697" i="30"/>
  <c r="K697" i="30" s="1"/>
  <c r="E697" i="30" s="1"/>
  <c r="Q697" i="30"/>
  <c r="R697" i="30" s="1"/>
  <c r="N697" i="30" s="1"/>
  <c r="I698" i="30"/>
  <c r="K698" i="30" s="1"/>
  <c r="Q698" i="30"/>
  <c r="R698" i="30"/>
  <c r="N698" i="30" s="1"/>
  <c r="I699" i="30"/>
  <c r="K699" i="30" s="1"/>
  <c r="O699" i="30"/>
  <c r="Q699" i="30"/>
  <c r="R699" i="30"/>
  <c r="N699" i="30" s="1"/>
  <c r="I700" i="30"/>
  <c r="K700" i="30" s="1"/>
  <c r="Q700" i="30"/>
  <c r="R700" i="30"/>
  <c r="N700" i="30" s="1"/>
  <c r="I701" i="30"/>
  <c r="K701" i="30" s="1"/>
  <c r="O701" i="30"/>
  <c r="Q701" i="30"/>
  <c r="R701" i="30"/>
  <c r="N701" i="30" s="1"/>
  <c r="I702" i="30"/>
  <c r="K702" i="30" s="1"/>
  <c r="Q702" i="30"/>
  <c r="R702" i="30"/>
  <c r="N702" i="30" s="1"/>
  <c r="I703" i="30"/>
  <c r="K703" i="30" s="1"/>
  <c r="O703" i="30"/>
  <c r="Q703" i="30"/>
  <c r="R703" i="30"/>
  <c r="N703" i="30" s="1"/>
  <c r="I704" i="30"/>
  <c r="K704" i="30" s="1"/>
  <c r="Q704" i="30"/>
  <c r="R704" i="30"/>
  <c r="N704" i="30" s="1"/>
  <c r="I705" i="30"/>
  <c r="K705" i="30" s="1"/>
  <c r="O705" i="30"/>
  <c r="Q705" i="30"/>
  <c r="R705" i="30"/>
  <c r="N705" i="30" s="1"/>
  <c r="I706" i="30"/>
  <c r="K706" i="30" s="1"/>
  <c r="Q706" i="30"/>
  <c r="R706" i="30"/>
  <c r="N706" i="30" s="1"/>
  <c r="I707" i="30"/>
  <c r="K707" i="30" s="1"/>
  <c r="O707" i="30"/>
  <c r="Q707" i="30"/>
  <c r="R707" i="30"/>
  <c r="N707" i="30" s="1"/>
  <c r="I708" i="30"/>
  <c r="K708" i="30" s="1"/>
  <c r="Q708" i="30"/>
  <c r="R708" i="30"/>
  <c r="N708" i="30" s="1"/>
  <c r="I709" i="30"/>
  <c r="K709" i="30" s="1"/>
  <c r="O709" i="30"/>
  <c r="Q709" i="30"/>
  <c r="R709" i="30"/>
  <c r="N709" i="30" s="1"/>
  <c r="I710" i="30"/>
  <c r="K710" i="30" s="1"/>
  <c r="Q710" i="30"/>
  <c r="R710" i="30"/>
  <c r="N710" i="30" s="1"/>
  <c r="I711" i="30"/>
  <c r="K711" i="30" s="1"/>
  <c r="O711" i="30"/>
  <c r="Q711" i="30"/>
  <c r="R711" i="30"/>
  <c r="N711" i="30" s="1"/>
  <c r="I712" i="30"/>
  <c r="K712" i="30" s="1"/>
  <c r="Q712" i="30"/>
  <c r="R712" i="30"/>
  <c r="N712" i="30" s="1"/>
  <c r="I713" i="30"/>
  <c r="K713" i="30" s="1"/>
  <c r="O713" i="30"/>
  <c r="Q713" i="30"/>
  <c r="R713" i="30"/>
  <c r="N713" i="30" s="1"/>
  <c r="I714" i="30"/>
  <c r="K714" i="30" s="1"/>
  <c r="Q714" i="30"/>
  <c r="R714" i="30"/>
  <c r="N714" i="30" s="1"/>
  <c r="I715" i="30"/>
  <c r="K715" i="30" s="1"/>
  <c r="O715" i="30"/>
  <c r="Q715" i="30"/>
  <c r="R715" i="30"/>
  <c r="N715" i="30" s="1"/>
  <c r="I716" i="30"/>
  <c r="K716" i="30" s="1"/>
  <c r="Q716" i="30"/>
  <c r="R716" i="30"/>
  <c r="N716" i="30" s="1"/>
  <c r="I717" i="30"/>
  <c r="K717" i="30" s="1"/>
  <c r="O717" i="30"/>
  <c r="Q717" i="30"/>
  <c r="R717" i="30"/>
  <c r="N717" i="30" s="1"/>
  <c r="I718" i="30"/>
  <c r="K718" i="30" s="1"/>
  <c r="Q718" i="30"/>
  <c r="R718" i="30"/>
  <c r="N718" i="30" s="1"/>
  <c r="I719" i="30"/>
  <c r="K719" i="30" s="1"/>
  <c r="O719" i="30"/>
  <c r="Q719" i="30"/>
  <c r="R719" i="30"/>
  <c r="N719" i="30" s="1"/>
  <c r="I720" i="30"/>
  <c r="K720" i="30" s="1"/>
  <c r="Q720" i="30"/>
  <c r="R720" i="30"/>
  <c r="N720" i="30" s="1"/>
  <c r="I721" i="30"/>
  <c r="K721" i="30" s="1"/>
  <c r="O721" i="30"/>
  <c r="Q721" i="30"/>
  <c r="R721" i="30"/>
  <c r="N721" i="30" s="1"/>
  <c r="I722" i="30"/>
  <c r="K722" i="30" s="1"/>
  <c r="Q722" i="30"/>
  <c r="R722" i="30"/>
  <c r="N722" i="30" s="1"/>
  <c r="I723" i="30"/>
  <c r="K723" i="30" s="1"/>
  <c r="O723" i="30"/>
  <c r="Q723" i="30"/>
  <c r="R723" i="30"/>
  <c r="N723" i="30" s="1"/>
  <c r="I724" i="30"/>
  <c r="K724" i="30" s="1"/>
  <c r="Q724" i="30"/>
  <c r="R724" i="30"/>
  <c r="N724" i="30" s="1"/>
  <c r="I725" i="30"/>
  <c r="K725" i="30" s="1"/>
  <c r="O725" i="30"/>
  <c r="Q725" i="30"/>
  <c r="R725" i="30"/>
  <c r="N725" i="30" s="1"/>
  <c r="I726" i="30"/>
  <c r="K726" i="30" s="1"/>
  <c r="Q726" i="30"/>
  <c r="R726" i="30"/>
  <c r="N726" i="30" s="1"/>
  <c r="I727" i="30"/>
  <c r="K727" i="30" s="1"/>
  <c r="O727" i="30"/>
  <c r="Q727" i="30"/>
  <c r="R727" i="30"/>
  <c r="N727" i="30" s="1"/>
  <c r="I728" i="30"/>
  <c r="K728" i="30" s="1"/>
  <c r="Q728" i="30"/>
  <c r="R728" i="30"/>
  <c r="N728" i="30" s="1"/>
  <c r="I729" i="30"/>
  <c r="K729" i="30" s="1"/>
  <c r="O729" i="30"/>
  <c r="Q729" i="30"/>
  <c r="R729" i="30"/>
  <c r="N729" i="30" s="1"/>
  <c r="I730" i="30"/>
  <c r="K730" i="30" s="1"/>
  <c r="Q730" i="30"/>
  <c r="R730" i="30"/>
  <c r="N730" i="30" s="1"/>
  <c r="I731" i="30"/>
  <c r="K731" i="30" s="1"/>
  <c r="O731" i="30"/>
  <c r="Q731" i="30"/>
  <c r="R731" i="30"/>
  <c r="N731" i="30" s="1"/>
  <c r="I732" i="30"/>
  <c r="K732" i="30" s="1"/>
  <c r="Q732" i="30"/>
  <c r="R732" i="30"/>
  <c r="N732" i="30" s="1"/>
  <c r="I733" i="30"/>
  <c r="K733" i="30" s="1"/>
  <c r="O733" i="30"/>
  <c r="Q733" i="30"/>
  <c r="R733" i="30"/>
  <c r="N733" i="30" s="1"/>
  <c r="I734" i="30"/>
  <c r="K734" i="30" s="1"/>
  <c r="Q734" i="30"/>
  <c r="R734" i="30"/>
  <c r="N734" i="30" s="1"/>
  <c r="I735" i="30"/>
  <c r="K735" i="30" s="1"/>
  <c r="O735" i="30"/>
  <c r="Q735" i="30"/>
  <c r="R735" i="30"/>
  <c r="N735" i="30" s="1"/>
  <c r="I736" i="30"/>
  <c r="K736" i="30" s="1"/>
  <c r="Q736" i="30"/>
  <c r="R736" i="30"/>
  <c r="N736" i="30" s="1"/>
  <c r="I737" i="30"/>
  <c r="K737" i="30" s="1"/>
  <c r="O737" i="30"/>
  <c r="Q737" i="30"/>
  <c r="R737" i="30"/>
  <c r="N737" i="30" s="1"/>
  <c r="I738" i="30"/>
  <c r="K738" i="30" s="1"/>
  <c r="Q738" i="30"/>
  <c r="R738" i="30"/>
  <c r="N738" i="30" s="1"/>
  <c r="I739" i="30"/>
  <c r="K739" i="30" s="1"/>
  <c r="O739" i="30"/>
  <c r="Q739" i="30"/>
  <c r="R739" i="30"/>
  <c r="N739" i="30" s="1"/>
  <c r="I740" i="30"/>
  <c r="K740" i="30" s="1"/>
  <c r="Q740" i="30"/>
  <c r="R740" i="30"/>
  <c r="N740" i="30" s="1"/>
  <c r="I741" i="30"/>
  <c r="K741" i="30" s="1"/>
  <c r="O741" i="30"/>
  <c r="Q741" i="30"/>
  <c r="R741" i="30"/>
  <c r="N741" i="30" s="1"/>
  <c r="I742" i="30"/>
  <c r="K742" i="30" s="1"/>
  <c r="Q742" i="30"/>
  <c r="R742" i="30"/>
  <c r="N742" i="30" s="1"/>
  <c r="I743" i="30"/>
  <c r="K743" i="30" s="1"/>
  <c r="O743" i="30"/>
  <c r="Q743" i="30"/>
  <c r="R743" i="30"/>
  <c r="N743" i="30" s="1"/>
  <c r="I744" i="30"/>
  <c r="K744" i="30" s="1"/>
  <c r="Q744" i="30"/>
  <c r="R744" i="30"/>
  <c r="N744" i="30" s="1"/>
  <c r="I745" i="30"/>
  <c r="K745" i="30" s="1"/>
  <c r="O745" i="30"/>
  <c r="Q745" i="30"/>
  <c r="R745" i="30"/>
  <c r="N745" i="30" s="1"/>
  <c r="I746" i="30"/>
  <c r="K746" i="30" s="1"/>
  <c r="Q746" i="30"/>
  <c r="R746" i="30"/>
  <c r="N746" i="30" s="1"/>
  <c r="I747" i="30"/>
  <c r="K747" i="30" s="1"/>
  <c r="O747" i="30"/>
  <c r="Q747" i="30"/>
  <c r="R747" i="30"/>
  <c r="N747" i="30" s="1"/>
  <c r="I748" i="30"/>
  <c r="K748" i="30" s="1"/>
  <c r="Q748" i="30"/>
  <c r="R748" i="30"/>
  <c r="N748" i="30" s="1"/>
  <c r="I749" i="30"/>
  <c r="K749" i="30" s="1"/>
  <c r="O749" i="30"/>
  <c r="Q749" i="30"/>
  <c r="R749" i="30"/>
  <c r="N749" i="30" s="1"/>
  <c r="I750" i="30"/>
  <c r="K750" i="30" s="1"/>
  <c r="Q750" i="30"/>
  <c r="R750" i="30"/>
  <c r="N750" i="30" s="1"/>
  <c r="I751" i="30"/>
  <c r="K751" i="30" s="1"/>
  <c r="O751" i="30"/>
  <c r="Q751" i="30"/>
  <c r="R751" i="30"/>
  <c r="N751" i="30" s="1"/>
  <c r="I752" i="30"/>
  <c r="K752" i="30" s="1"/>
  <c r="Q752" i="30"/>
  <c r="R752" i="30"/>
  <c r="N752" i="30" s="1"/>
  <c r="I753" i="30"/>
  <c r="K753" i="30" s="1"/>
  <c r="O753" i="30"/>
  <c r="Q753" i="30"/>
  <c r="R753" i="30"/>
  <c r="N753" i="30" s="1"/>
  <c r="I754" i="30"/>
  <c r="K754" i="30" s="1"/>
  <c r="Q754" i="30"/>
  <c r="R754" i="30" s="1"/>
  <c r="I755" i="30"/>
  <c r="K755" i="30" s="1"/>
  <c r="Q755" i="30"/>
  <c r="R755" i="30" s="1"/>
  <c r="I756" i="30"/>
  <c r="K756" i="30" s="1"/>
  <c r="Q756" i="30"/>
  <c r="R756" i="30" s="1"/>
  <c r="I757" i="30"/>
  <c r="K757" i="30" s="1"/>
  <c r="Q757" i="30"/>
  <c r="R757" i="30" s="1"/>
  <c r="I758" i="30"/>
  <c r="K758" i="30" s="1"/>
  <c r="Q758" i="30"/>
  <c r="R758" i="30" s="1"/>
  <c r="I759" i="30"/>
  <c r="K759" i="30" s="1"/>
  <c r="Q759" i="30"/>
  <c r="R759" i="30" s="1"/>
  <c r="I760" i="30"/>
  <c r="K760" i="30" s="1"/>
  <c r="Q760" i="30"/>
  <c r="R760" i="30" s="1"/>
  <c r="I761" i="30"/>
  <c r="K761" i="30" s="1"/>
  <c r="Q761" i="30"/>
  <c r="R761" i="30" s="1"/>
  <c r="I762" i="30"/>
  <c r="K762" i="30" s="1"/>
  <c r="Q762" i="30"/>
  <c r="R762" i="30" s="1"/>
  <c r="I763" i="30"/>
  <c r="K763" i="30" s="1"/>
  <c r="Q763" i="30"/>
  <c r="R763" i="30" s="1"/>
  <c r="I764" i="30"/>
  <c r="K764" i="30" s="1"/>
  <c r="Q764" i="30"/>
  <c r="R764" i="30" s="1"/>
  <c r="I765" i="30"/>
  <c r="K765" i="30" s="1"/>
  <c r="Q765" i="30"/>
  <c r="R765" i="30" s="1"/>
  <c r="I766" i="30"/>
  <c r="K766" i="30" s="1"/>
  <c r="Q766" i="30"/>
  <c r="R766" i="30" s="1"/>
  <c r="I767" i="30"/>
  <c r="K767" i="30" s="1"/>
  <c r="Q767" i="30"/>
  <c r="R767" i="30" s="1"/>
  <c r="I768" i="30"/>
  <c r="K768" i="30" s="1"/>
  <c r="Q768" i="30"/>
  <c r="R768" i="30" s="1"/>
  <c r="I769" i="30"/>
  <c r="K769" i="30" s="1"/>
  <c r="Q769" i="30"/>
  <c r="R769" i="30" s="1"/>
  <c r="I770" i="30"/>
  <c r="K770" i="30" s="1"/>
  <c r="Q770" i="30"/>
  <c r="R770" i="30" s="1"/>
  <c r="I771" i="30"/>
  <c r="K771" i="30" s="1"/>
  <c r="Q771" i="30"/>
  <c r="R771" i="30" s="1"/>
  <c r="I772" i="30"/>
  <c r="K772" i="30" s="1"/>
  <c r="Q772" i="30"/>
  <c r="R772" i="30" s="1"/>
  <c r="I773" i="30"/>
  <c r="K773" i="30" s="1"/>
  <c r="Q773" i="30"/>
  <c r="R773" i="30" s="1"/>
  <c r="I774" i="30"/>
  <c r="K774" i="30" s="1"/>
  <c r="Q774" i="30"/>
  <c r="R774" i="30" s="1"/>
  <c r="I775" i="30"/>
  <c r="K775" i="30" s="1"/>
  <c r="Q775" i="30"/>
  <c r="R775" i="30" s="1"/>
  <c r="I776" i="30"/>
  <c r="K776" i="30" s="1"/>
  <c r="Q776" i="30"/>
  <c r="R776" i="30" s="1"/>
  <c r="I777" i="30"/>
  <c r="K777" i="30" s="1"/>
  <c r="Q777" i="30"/>
  <c r="R777" i="30" s="1"/>
  <c r="I778" i="30"/>
  <c r="K778" i="30" s="1"/>
  <c r="Q778" i="30"/>
  <c r="R778" i="30" s="1"/>
  <c r="I779" i="30"/>
  <c r="K779" i="30" s="1"/>
  <c r="Q779" i="30"/>
  <c r="R779" i="30" s="1"/>
  <c r="I780" i="30"/>
  <c r="K780" i="30" s="1"/>
  <c r="Q780" i="30"/>
  <c r="R780" i="30" s="1"/>
  <c r="I781" i="30"/>
  <c r="K781" i="30" s="1"/>
  <c r="Q781" i="30"/>
  <c r="R781" i="30" s="1"/>
  <c r="I782" i="30"/>
  <c r="K782" i="30" s="1"/>
  <c r="Q782" i="30"/>
  <c r="R782" i="30" s="1"/>
  <c r="I783" i="30"/>
  <c r="K783" i="30" s="1"/>
  <c r="Q783" i="30"/>
  <c r="R783" i="30" s="1"/>
  <c r="I784" i="30"/>
  <c r="K784" i="30" s="1"/>
  <c r="Q784" i="30"/>
  <c r="R784" i="30" s="1"/>
  <c r="I785" i="30"/>
  <c r="K785" i="30" s="1"/>
  <c r="Q785" i="30"/>
  <c r="R785" i="30" s="1"/>
  <c r="I786" i="30"/>
  <c r="K786" i="30" s="1"/>
  <c r="Q786" i="30"/>
  <c r="R786" i="30" s="1"/>
  <c r="I787" i="30"/>
  <c r="K787" i="30" s="1"/>
  <c r="Q787" i="30"/>
  <c r="R787" i="30" s="1"/>
  <c r="I788" i="30"/>
  <c r="K788" i="30" s="1"/>
  <c r="Q788" i="30"/>
  <c r="R788" i="30" s="1"/>
  <c r="I789" i="30"/>
  <c r="K789" i="30" s="1"/>
  <c r="Q789" i="30"/>
  <c r="R789" i="30" s="1"/>
  <c r="I790" i="30"/>
  <c r="K790" i="30" s="1"/>
  <c r="Q790" i="30"/>
  <c r="R790" i="30" s="1"/>
  <c r="I791" i="30"/>
  <c r="K791" i="30" s="1"/>
  <c r="Q791" i="30"/>
  <c r="R791" i="30" s="1"/>
  <c r="I792" i="30"/>
  <c r="K792" i="30" s="1"/>
  <c r="Q792" i="30"/>
  <c r="R792" i="30" s="1"/>
  <c r="I793" i="30"/>
  <c r="K793" i="30" s="1"/>
  <c r="Q793" i="30"/>
  <c r="R793" i="30" s="1"/>
  <c r="I794" i="30"/>
  <c r="K794" i="30" s="1"/>
  <c r="Q794" i="30"/>
  <c r="R794" i="30" s="1"/>
  <c r="I795" i="30"/>
  <c r="K795" i="30" s="1"/>
  <c r="Q795" i="30"/>
  <c r="R795" i="30" s="1"/>
  <c r="I796" i="30"/>
  <c r="K796" i="30" s="1"/>
  <c r="Q796" i="30"/>
  <c r="R796" i="30" s="1"/>
  <c r="I797" i="30"/>
  <c r="K797" i="30" s="1"/>
  <c r="Q797" i="30"/>
  <c r="R797" i="30" s="1"/>
  <c r="I798" i="30"/>
  <c r="K798" i="30" s="1"/>
  <c r="Q798" i="30"/>
  <c r="R798" i="30" s="1"/>
  <c r="I799" i="30"/>
  <c r="K799" i="30" s="1"/>
  <c r="Q799" i="30"/>
  <c r="R799" i="30" s="1"/>
  <c r="I800" i="30"/>
  <c r="K800" i="30" s="1"/>
  <c r="Q800" i="30"/>
  <c r="R800" i="30" s="1"/>
  <c r="I801" i="30"/>
  <c r="K801" i="30" s="1"/>
  <c r="Q801" i="30"/>
  <c r="R801" i="30" s="1"/>
  <c r="I802" i="30"/>
  <c r="K802" i="30" s="1"/>
  <c r="Q802" i="30"/>
  <c r="R802" i="30" s="1"/>
  <c r="I803" i="30"/>
  <c r="K803" i="30" s="1"/>
  <c r="Q803" i="30"/>
  <c r="R803" i="30" s="1"/>
  <c r="I804" i="30"/>
  <c r="K804" i="30" s="1"/>
  <c r="Q804" i="30"/>
  <c r="R804" i="30" s="1"/>
  <c r="I805" i="30"/>
  <c r="K805" i="30" s="1"/>
  <c r="Q805" i="30"/>
  <c r="R805" i="30" s="1"/>
  <c r="I806" i="30"/>
  <c r="K806" i="30" s="1"/>
  <c r="Q806" i="30"/>
  <c r="R806" i="30" s="1"/>
  <c r="I807" i="30"/>
  <c r="K807" i="30" s="1"/>
  <c r="Q807" i="30"/>
  <c r="R807" i="30" s="1"/>
  <c r="I808" i="30"/>
  <c r="K808" i="30" s="1"/>
  <c r="Q808" i="30"/>
  <c r="R808" i="30" s="1"/>
  <c r="I809" i="30"/>
  <c r="K809" i="30" s="1"/>
  <c r="Q809" i="30"/>
  <c r="R809" i="30" s="1"/>
  <c r="I810" i="30"/>
  <c r="K810" i="30" s="1"/>
  <c r="Q810" i="30"/>
  <c r="R810" i="30" s="1"/>
  <c r="I811" i="30"/>
  <c r="K811" i="30" s="1"/>
  <c r="Q811" i="30"/>
  <c r="R811" i="30" s="1"/>
  <c r="I812" i="30"/>
  <c r="K812" i="30" s="1"/>
  <c r="Q812" i="30"/>
  <c r="R812" i="30" s="1"/>
  <c r="I813" i="30"/>
  <c r="K813" i="30" s="1"/>
  <c r="Q813" i="30"/>
  <c r="R813" i="30" s="1"/>
  <c r="I814" i="30"/>
  <c r="K814" i="30" s="1"/>
  <c r="Q814" i="30"/>
  <c r="R814" i="30" s="1"/>
  <c r="I815" i="30"/>
  <c r="K815" i="30" s="1"/>
  <c r="Q815" i="30"/>
  <c r="R815" i="30" s="1"/>
  <c r="I816" i="30"/>
  <c r="K816" i="30" s="1"/>
  <c r="Q816" i="30"/>
  <c r="R816" i="30" s="1"/>
  <c r="I817" i="30"/>
  <c r="K817" i="30" s="1"/>
  <c r="Q817" i="30"/>
  <c r="R817" i="30" s="1"/>
  <c r="I818" i="30"/>
  <c r="K818" i="30" s="1"/>
  <c r="Q818" i="30"/>
  <c r="R818" i="30" s="1"/>
  <c r="I819" i="30"/>
  <c r="K819" i="30" s="1"/>
  <c r="Q819" i="30"/>
  <c r="R819" i="30" s="1"/>
  <c r="I820" i="30"/>
  <c r="K820" i="30" s="1"/>
  <c r="Q820" i="30"/>
  <c r="R820" i="30" s="1"/>
  <c r="I821" i="30"/>
  <c r="K821" i="30" s="1"/>
  <c r="Q821" i="30"/>
  <c r="R821" i="30" s="1"/>
  <c r="I822" i="30"/>
  <c r="K822" i="30" s="1"/>
  <c r="Q822" i="30"/>
  <c r="R822" i="30" s="1"/>
  <c r="I823" i="30"/>
  <c r="K823" i="30" s="1"/>
  <c r="Q823" i="30"/>
  <c r="R823" i="30" s="1"/>
  <c r="I824" i="30"/>
  <c r="K824" i="30" s="1"/>
  <c r="Q824" i="30"/>
  <c r="R824" i="30" s="1"/>
  <c r="I825" i="30"/>
  <c r="K825" i="30" s="1"/>
  <c r="Q825" i="30"/>
  <c r="R825" i="30" s="1"/>
  <c r="I826" i="30"/>
  <c r="K826" i="30" s="1"/>
  <c r="Q826" i="30"/>
  <c r="R826" i="30" s="1"/>
  <c r="I827" i="30"/>
  <c r="K827" i="30" s="1"/>
  <c r="Q827" i="30"/>
  <c r="R827" i="30" s="1"/>
  <c r="I828" i="30"/>
  <c r="K828" i="30" s="1"/>
  <c r="Q828" i="30"/>
  <c r="R828" i="30" s="1"/>
  <c r="I829" i="30"/>
  <c r="K829" i="30" s="1"/>
  <c r="Q829" i="30"/>
  <c r="R829" i="30" s="1"/>
  <c r="I830" i="30"/>
  <c r="K830" i="30" s="1"/>
  <c r="Q830" i="30"/>
  <c r="R830" i="30" s="1"/>
  <c r="I831" i="30"/>
  <c r="K831" i="30" s="1"/>
  <c r="Q831" i="30"/>
  <c r="R831" i="30" s="1"/>
  <c r="I832" i="30"/>
  <c r="K832" i="30" s="1"/>
  <c r="Q832" i="30"/>
  <c r="R832" i="30" s="1"/>
  <c r="I833" i="30"/>
  <c r="K833" i="30" s="1"/>
  <c r="Q833" i="30"/>
  <c r="R833" i="30" s="1"/>
  <c r="I834" i="30"/>
  <c r="K834" i="30" s="1"/>
  <c r="Q834" i="30"/>
  <c r="R834" i="30" s="1"/>
  <c r="I835" i="30"/>
  <c r="K835" i="30" s="1"/>
  <c r="Q835" i="30"/>
  <c r="R835" i="30" s="1"/>
  <c r="I836" i="30"/>
  <c r="K836" i="30" s="1"/>
  <c r="Q836" i="30"/>
  <c r="R836" i="30" s="1"/>
  <c r="I837" i="30"/>
  <c r="K837" i="30" s="1"/>
  <c r="Q837" i="30"/>
  <c r="R837" i="30" s="1"/>
  <c r="I838" i="30"/>
  <c r="K838" i="30" s="1"/>
  <c r="Q838" i="30"/>
  <c r="R838" i="30" s="1"/>
  <c r="I839" i="30"/>
  <c r="K839" i="30" s="1"/>
  <c r="Q839" i="30"/>
  <c r="R839" i="30" s="1"/>
  <c r="I840" i="30"/>
  <c r="K840" i="30" s="1"/>
  <c r="Q840" i="30"/>
  <c r="R840" i="30" s="1"/>
  <c r="I841" i="30"/>
  <c r="K841" i="30" s="1"/>
  <c r="Q841" i="30"/>
  <c r="R841" i="30" s="1"/>
  <c r="I842" i="30"/>
  <c r="K842" i="30" s="1"/>
  <c r="Q842" i="30"/>
  <c r="R842" i="30" s="1"/>
  <c r="I843" i="30"/>
  <c r="K843" i="30" s="1"/>
  <c r="Q843" i="30"/>
  <c r="R843" i="30" s="1"/>
  <c r="I844" i="30"/>
  <c r="K844" i="30" s="1"/>
  <c r="Q844" i="30"/>
  <c r="R844" i="30" s="1"/>
  <c r="I845" i="30"/>
  <c r="K845" i="30" s="1"/>
  <c r="Q845" i="30"/>
  <c r="R845" i="30" s="1"/>
  <c r="I846" i="30"/>
  <c r="K846" i="30" s="1"/>
  <c r="Q846" i="30"/>
  <c r="R846" i="30" s="1"/>
  <c r="I847" i="30"/>
  <c r="K847" i="30" s="1"/>
  <c r="Q847" i="30"/>
  <c r="R847" i="30" s="1"/>
  <c r="I848" i="30"/>
  <c r="K848" i="30" s="1"/>
  <c r="Q848" i="30"/>
  <c r="R848" i="30" s="1"/>
  <c r="I849" i="30"/>
  <c r="K849" i="30" s="1"/>
  <c r="Q849" i="30"/>
  <c r="R849" i="30" s="1"/>
  <c r="I850" i="30"/>
  <c r="K850" i="30" s="1"/>
  <c r="Q850" i="30"/>
  <c r="R850" i="30" s="1"/>
  <c r="I851" i="30"/>
  <c r="K851" i="30" s="1"/>
  <c r="Q851" i="30"/>
  <c r="R851" i="30" s="1"/>
  <c r="I852" i="30"/>
  <c r="K852" i="30" s="1"/>
  <c r="Q852" i="30"/>
  <c r="R852" i="30" s="1"/>
  <c r="I853" i="30"/>
  <c r="K853" i="30" s="1"/>
  <c r="Q853" i="30"/>
  <c r="R853" i="30" s="1"/>
  <c r="I854" i="30"/>
  <c r="K854" i="30" s="1"/>
  <c r="Q854" i="30"/>
  <c r="R854" i="30" s="1"/>
  <c r="I855" i="30"/>
  <c r="K855" i="30" s="1"/>
  <c r="Q855" i="30"/>
  <c r="R855" i="30" s="1"/>
  <c r="I856" i="30"/>
  <c r="K856" i="30" s="1"/>
  <c r="Q856" i="30"/>
  <c r="R856" i="30" s="1"/>
  <c r="I857" i="30"/>
  <c r="K857" i="30" s="1"/>
  <c r="Q857" i="30"/>
  <c r="R857" i="30" s="1"/>
  <c r="I858" i="30"/>
  <c r="K858" i="30" s="1"/>
  <c r="Q858" i="30"/>
  <c r="R858" i="30" s="1"/>
  <c r="I859" i="30"/>
  <c r="K859" i="30" s="1"/>
  <c r="Q859" i="30"/>
  <c r="R859" i="30" s="1"/>
  <c r="I860" i="30"/>
  <c r="K860" i="30" s="1"/>
  <c r="Q860" i="30"/>
  <c r="R860" i="30" s="1"/>
  <c r="I861" i="30"/>
  <c r="K861" i="30" s="1"/>
  <c r="Q861" i="30"/>
  <c r="R861" i="30" s="1"/>
  <c r="I862" i="30"/>
  <c r="K862" i="30" s="1"/>
  <c r="Q862" i="30"/>
  <c r="R862" i="30" s="1"/>
  <c r="I863" i="30"/>
  <c r="K863" i="30" s="1"/>
  <c r="Q863" i="30"/>
  <c r="R863" i="30" s="1"/>
  <c r="I864" i="30"/>
  <c r="K864" i="30" s="1"/>
  <c r="Q864" i="30"/>
  <c r="R864" i="30" s="1"/>
  <c r="I865" i="30"/>
  <c r="K865" i="30" s="1"/>
  <c r="Q865" i="30"/>
  <c r="R865" i="30" s="1"/>
  <c r="I866" i="30"/>
  <c r="K866" i="30" s="1"/>
  <c r="Q866" i="30"/>
  <c r="R866" i="30" s="1"/>
  <c r="I867" i="30"/>
  <c r="K867" i="30" s="1"/>
  <c r="Q867" i="30"/>
  <c r="R867" i="30" s="1"/>
  <c r="I868" i="30"/>
  <c r="K868" i="30" s="1"/>
  <c r="Q868" i="30"/>
  <c r="R868" i="30" s="1"/>
  <c r="I869" i="30"/>
  <c r="K869" i="30" s="1"/>
  <c r="Q869" i="30"/>
  <c r="R869" i="30" s="1"/>
  <c r="I870" i="30"/>
  <c r="K870" i="30" s="1"/>
  <c r="Q870" i="30"/>
  <c r="R870" i="30" s="1"/>
  <c r="I871" i="30"/>
  <c r="K871" i="30" s="1"/>
  <c r="Q871" i="30"/>
  <c r="R871" i="30" s="1"/>
  <c r="I872" i="30"/>
  <c r="K872" i="30" s="1"/>
  <c r="Q872" i="30"/>
  <c r="R872" i="30" s="1"/>
  <c r="I873" i="30"/>
  <c r="K873" i="30" s="1"/>
  <c r="Q873" i="30"/>
  <c r="R873" i="30" s="1"/>
  <c r="I874" i="30"/>
  <c r="K874" i="30" s="1"/>
  <c r="Q874" i="30"/>
  <c r="R874" i="30" s="1"/>
  <c r="I875" i="30"/>
  <c r="K875" i="30" s="1"/>
  <c r="Q875" i="30"/>
  <c r="R875" i="30" s="1"/>
  <c r="I876" i="30"/>
  <c r="K876" i="30" s="1"/>
  <c r="Q876" i="30"/>
  <c r="R876" i="30" s="1"/>
  <c r="I877" i="30"/>
  <c r="K877" i="30" s="1"/>
  <c r="Q877" i="30"/>
  <c r="R877" i="30" s="1"/>
  <c r="I878" i="30"/>
  <c r="K878" i="30" s="1"/>
  <c r="Q878" i="30"/>
  <c r="R878" i="30" s="1"/>
  <c r="I879" i="30"/>
  <c r="K879" i="30" s="1"/>
  <c r="Q879" i="30"/>
  <c r="R879" i="30" s="1"/>
  <c r="I880" i="30"/>
  <c r="K880" i="30" s="1"/>
  <c r="Q880" i="30"/>
  <c r="R880" i="30" s="1"/>
  <c r="I881" i="30"/>
  <c r="K881" i="30" s="1"/>
  <c r="Q881" i="30"/>
  <c r="R881" i="30" s="1"/>
  <c r="I882" i="30"/>
  <c r="K882" i="30" s="1"/>
  <c r="Q882" i="30"/>
  <c r="R882" i="30" s="1"/>
  <c r="I883" i="30"/>
  <c r="K883" i="30" s="1"/>
  <c r="Q883" i="30"/>
  <c r="R883" i="30" s="1"/>
  <c r="I884" i="30"/>
  <c r="K884" i="30" s="1"/>
  <c r="Q884" i="30"/>
  <c r="R884" i="30" s="1"/>
  <c r="I885" i="30"/>
  <c r="K885" i="30" s="1"/>
  <c r="Q885" i="30"/>
  <c r="R885" i="30" s="1"/>
  <c r="I886" i="30"/>
  <c r="K886" i="30" s="1"/>
  <c r="Q886" i="30"/>
  <c r="R886" i="30" s="1"/>
  <c r="I887" i="30"/>
  <c r="K887" i="30" s="1"/>
  <c r="Q887" i="30"/>
  <c r="R887" i="30" s="1"/>
  <c r="I888" i="30"/>
  <c r="K888" i="30" s="1"/>
  <c r="Q888" i="30"/>
  <c r="R888" i="30" s="1"/>
  <c r="I889" i="30"/>
  <c r="K889" i="30" s="1"/>
  <c r="Q889" i="30"/>
  <c r="R889" i="30" s="1"/>
  <c r="I890" i="30"/>
  <c r="K890" i="30" s="1"/>
  <c r="Q890" i="30"/>
  <c r="R890" i="30" s="1"/>
  <c r="I891" i="30"/>
  <c r="K891" i="30" s="1"/>
  <c r="Q891" i="30"/>
  <c r="R891" i="30" s="1"/>
  <c r="I892" i="30"/>
  <c r="K892" i="30" s="1"/>
  <c r="Q892" i="30"/>
  <c r="R892" i="30" s="1"/>
  <c r="I893" i="30"/>
  <c r="K893" i="30" s="1"/>
  <c r="Q893" i="30"/>
  <c r="R893" i="30" s="1"/>
  <c r="I894" i="30"/>
  <c r="K894" i="30" s="1"/>
  <c r="Q894" i="30"/>
  <c r="R894" i="30" s="1"/>
  <c r="I895" i="30"/>
  <c r="K895" i="30" s="1"/>
  <c r="Q895" i="30"/>
  <c r="R895" i="30" s="1"/>
  <c r="I896" i="30"/>
  <c r="K896" i="30" s="1"/>
  <c r="Q896" i="30"/>
  <c r="R896" i="30" s="1"/>
  <c r="I897" i="30"/>
  <c r="K897" i="30" s="1"/>
  <c r="Q897" i="30"/>
  <c r="R897" i="30" s="1"/>
  <c r="I898" i="30"/>
  <c r="K898" i="30" s="1"/>
  <c r="Q898" i="30"/>
  <c r="R898" i="30" s="1"/>
  <c r="I899" i="30"/>
  <c r="K899" i="30" s="1"/>
  <c r="Q899" i="30"/>
  <c r="R899" i="30" s="1"/>
  <c r="I900" i="30"/>
  <c r="K900" i="30" s="1"/>
  <c r="Q900" i="30"/>
  <c r="R900" i="30" s="1"/>
  <c r="I901" i="30"/>
  <c r="K901" i="30" s="1"/>
  <c r="Q901" i="30"/>
  <c r="R901" i="30" s="1"/>
  <c r="I902" i="30"/>
  <c r="K902" i="30" s="1"/>
  <c r="Q902" i="30"/>
  <c r="R902" i="30" s="1"/>
  <c r="I903" i="30"/>
  <c r="K903" i="30" s="1"/>
  <c r="Q903" i="30"/>
  <c r="R903" i="30" s="1"/>
  <c r="I904" i="30"/>
  <c r="K904" i="30" s="1"/>
  <c r="Q904" i="30"/>
  <c r="R904" i="30" s="1"/>
  <c r="I905" i="30"/>
  <c r="K905" i="30" s="1"/>
  <c r="Q905" i="30"/>
  <c r="R905" i="30" s="1"/>
  <c r="E906" i="30"/>
  <c r="I906" i="30"/>
  <c r="K906" i="30" s="1"/>
  <c r="G906" i="30" s="1"/>
  <c r="N906" i="30"/>
  <c r="Q906" i="30"/>
  <c r="R906" i="30" s="1"/>
  <c r="O906" i="30" s="1"/>
  <c r="E907" i="30"/>
  <c r="I907" i="30"/>
  <c r="K907" i="30" s="1"/>
  <c r="G907" i="30" s="1"/>
  <c r="Q907" i="30"/>
  <c r="R907" i="30" s="1"/>
  <c r="O907" i="30" s="1"/>
  <c r="E908" i="30"/>
  <c r="I908" i="30"/>
  <c r="K908" i="30" s="1"/>
  <c r="G908" i="30" s="1"/>
  <c r="Q908" i="30"/>
  <c r="R908" i="30" s="1"/>
  <c r="O908" i="30" s="1"/>
  <c r="E909" i="30"/>
  <c r="I909" i="30"/>
  <c r="K909" i="30" s="1"/>
  <c r="G909" i="30" s="1"/>
  <c r="Q909" i="30"/>
  <c r="R909" i="30" s="1"/>
  <c r="O909" i="30" s="1"/>
  <c r="E910" i="30"/>
  <c r="I910" i="30"/>
  <c r="K910" i="30" s="1"/>
  <c r="G910" i="30" s="1"/>
  <c r="Q910" i="30"/>
  <c r="R910" i="30" s="1"/>
  <c r="O910" i="30" s="1"/>
  <c r="E911" i="30"/>
  <c r="I911" i="30"/>
  <c r="K911" i="30" s="1"/>
  <c r="G911" i="30" s="1"/>
  <c r="Q911" i="30"/>
  <c r="R911" i="30" s="1"/>
  <c r="O911" i="30" s="1"/>
  <c r="E912" i="30"/>
  <c r="I912" i="30"/>
  <c r="K912" i="30" s="1"/>
  <c r="G912" i="30" s="1"/>
  <c r="Q912" i="30"/>
  <c r="R912" i="30" s="1"/>
  <c r="O912" i="30" s="1"/>
  <c r="E913" i="30"/>
  <c r="I913" i="30"/>
  <c r="K913" i="30" s="1"/>
  <c r="G913" i="30" s="1"/>
  <c r="Q913" i="30"/>
  <c r="R913" i="30" s="1"/>
  <c r="O913" i="30" s="1"/>
  <c r="E914" i="30"/>
  <c r="I914" i="30"/>
  <c r="K914" i="30" s="1"/>
  <c r="G914" i="30" s="1"/>
  <c r="Q914" i="30"/>
  <c r="R914" i="30" s="1"/>
  <c r="O914" i="30" s="1"/>
  <c r="E915" i="30"/>
  <c r="I915" i="30"/>
  <c r="K915" i="30" s="1"/>
  <c r="G915" i="30" s="1"/>
  <c r="Q915" i="30"/>
  <c r="R915" i="30" s="1"/>
  <c r="O915" i="30" s="1"/>
  <c r="E916" i="30"/>
  <c r="I916" i="30"/>
  <c r="K916" i="30" s="1"/>
  <c r="G916" i="30" s="1"/>
  <c r="Q916" i="30"/>
  <c r="R916" i="30" s="1"/>
  <c r="O916" i="30" s="1"/>
  <c r="E917" i="30"/>
  <c r="I917" i="30"/>
  <c r="K917" i="30" s="1"/>
  <c r="G917" i="30" s="1"/>
  <c r="Q917" i="30"/>
  <c r="R917" i="30" s="1"/>
  <c r="O917" i="30" s="1"/>
  <c r="E918" i="30"/>
  <c r="I918" i="30"/>
  <c r="K918" i="30" s="1"/>
  <c r="G918" i="30" s="1"/>
  <c r="Q918" i="30"/>
  <c r="R918" i="30" s="1"/>
  <c r="O918" i="30" s="1"/>
  <c r="E919" i="30"/>
  <c r="I919" i="30"/>
  <c r="K919" i="30" s="1"/>
  <c r="G919" i="30" s="1"/>
  <c r="Q919" i="30"/>
  <c r="R919" i="30" s="1"/>
  <c r="O919" i="30" s="1"/>
  <c r="E920" i="30"/>
  <c r="I920" i="30"/>
  <c r="K920" i="30" s="1"/>
  <c r="G920" i="30" s="1"/>
  <c r="Q920" i="30"/>
  <c r="R920" i="30" s="1"/>
  <c r="O920" i="30" s="1"/>
  <c r="E921" i="30"/>
  <c r="I921" i="30"/>
  <c r="K921" i="30" s="1"/>
  <c r="G921" i="30" s="1"/>
  <c r="Q921" i="30"/>
  <c r="R921" i="30" s="1"/>
  <c r="O921" i="30" s="1"/>
  <c r="E922" i="30"/>
  <c r="I922" i="30"/>
  <c r="K922" i="30" s="1"/>
  <c r="G922" i="30" s="1"/>
  <c r="Q922" i="30"/>
  <c r="R922" i="30" s="1"/>
  <c r="O922" i="30" s="1"/>
  <c r="E923" i="30"/>
  <c r="I923" i="30"/>
  <c r="K923" i="30" s="1"/>
  <c r="G923" i="30" s="1"/>
  <c r="Q923" i="30"/>
  <c r="R923" i="30" s="1"/>
  <c r="O923" i="30" s="1"/>
  <c r="E924" i="30"/>
  <c r="I924" i="30"/>
  <c r="K924" i="30" s="1"/>
  <c r="G924" i="30" s="1"/>
  <c r="Q924" i="30"/>
  <c r="R924" i="30" s="1"/>
  <c r="O924" i="30" s="1"/>
  <c r="E925" i="30"/>
  <c r="I925" i="30"/>
  <c r="K925" i="30" s="1"/>
  <c r="G925" i="30" s="1"/>
  <c r="Q925" i="30"/>
  <c r="R925" i="30" s="1"/>
  <c r="O925" i="30" s="1"/>
  <c r="E926" i="30"/>
  <c r="I926" i="30"/>
  <c r="K926" i="30" s="1"/>
  <c r="G926" i="30" s="1"/>
  <c r="Q926" i="30"/>
  <c r="R926" i="30" s="1"/>
  <c r="O926" i="30" s="1"/>
  <c r="E927" i="30"/>
  <c r="I927" i="30"/>
  <c r="K927" i="30" s="1"/>
  <c r="G927" i="30" s="1"/>
  <c r="Q927" i="30"/>
  <c r="R927" i="30" s="1"/>
  <c r="O927" i="30" s="1"/>
  <c r="E928" i="30"/>
  <c r="I928" i="30"/>
  <c r="K928" i="30" s="1"/>
  <c r="G928" i="30" s="1"/>
  <c r="Q928" i="30"/>
  <c r="R928" i="30" s="1"/>
  <c r="O928" i="30" s="1"/>
  <c r="E929" i="30"/>
  <c r="I929" i="30"/>
  <c r="K929" i="30" s="1"/>
  <c r="G929" i="30" s="1"/>
  <c r="Q929" i="30"/>
  <c r="R929" i="30" s="1"/>
  <c r="O929" i="30" s="1"/>
  <c r="E930" i="30"/>
  <c r="I930" i="30"/>
  <c r="K930" i="30" s="1"/>
  <c r="G930" i="30" s="1"/>
  <c r="Q930" i="30"/>
  <c r="R930" i="30" s="1"/>
  <c r="O930" i="30" s="1"/>
  <c r="E931" i="30"/>
  <c r="I931" i="30"/>
  <c r="K931" i="30" s="1"/>
  <c r="G931" i="30" s="1"/>
  <c r="Q931" i="30"/>
  <c r="R931" i="30" s="1"/>
  <c r="O931" i="30" s="1"/>
  <c r="E932" i="30"/>
  <c r="I932" i="30"/>
  <c r="K932" i="30" s="1"/>
  <c r="G932" i="30" s="1"/>
  <c r="Q932" i="30"/>
  <c r="R932" i="30" s="1"/>
  <c r="O932" i="30" s="1"/>
  <c r="E933" i="30"/>
  <c r="I933" i="30"/>
  <c r="K933" i="30" s="1"/>
  <c r="G933" i="30" s="1"/>
  <c r="Q933" i="30"/>
  <c r="R933" i="30" s="1"/>
  <c r="O933" i="30" s="1"/>
  <c r="E934" i="30"/>
  <c r="I934" i="30"/>
  <c r="K934" i="30" s="1"/>
  <c r="G934" i="30" s="1"/>
  <c r="Q934" i="30"/>
  <c r="R934" i="30" s="1"/>
  <c r="O934" i="30" s="1"/>
  <c r="E935" i="30"/>
  <c r="I935" i="30"/>
  <c r="K935" i="30" s="1"/>
  <c r="G935" i="30" s="1"/>
  <c r="Q935" i="30"/>
  <c r="R935" i="30" s="1"/>
  <c r="O935" i="30" s="1"/>
  <c r="E936" i="30"/>
  <c r="I936" i="30"/>
  <c r="K936" i="30" s="1"/>
  <c r="G936" i="30" s="1"/>
  <c r="Q936" i="30"/>
  <c r="R936" i="30" s="1"/>
  <c r="O936" i="30" s="1"/>
  <c r="E937" i="30"/>
  <c r="I937" i="30"/>
  <c r="K937" i="30" s="1"/>
  <c r="G937" i="30" s="1"/>
  <c r="Q937" i="30"/>
  <c r="R937" i="30" s="1"/>
  <c r="O937" i="30" s="1"/>
  <c r="E938" i="30"/>
  <c r="I938" i="30"/>
  <c r="K938" i="30" s="1"/>
  <c r="G938" i="30" s="1"/>
  <c r="Q938" i="30"/>
  <c r="R938" i="30" s="1"/>
  <c r="O938" i="30" s="1"/>
  <c r="E939" i="30"/>
  <c r="I939" i="30"/>
  <c r="K939" i="30" s="1"/>
  <c r="G939" i="30" s="1"/>
  <c r="Q939" i="30"/>
  <c r="R939" i="30" s="1"/>
  <c r="O939" i="30" s="1"/>
  <c r="E940" i="30"/>
  <c r="I940" i="30"/>
  <c r="K940" i="30" s="1"/>
  <c r="G940" i="30" s="1"/>
  <c r="Q940" i="30"/>
  <c r="R940" i="30" s="1"/>
  <c r="O940" i="30" s="1"/>
  <c r="E941" i="30"/>
  <c r="I941" i="30"/>
  <c r="K941" i="30" s="1"/>
  <c r="G941" i="30" s="1"/>
  <c r="Q941" i="30"/>
  <c r="R941" i="30" s="1"/>
  <c r="O941" i="30" s="1"/>
  <c r="E942" i="30"/>
  <c r="I942" i="30"/>
  <c r="K942" i="30" s="1"/>
  <c r="G942" i="30" s="1"/>
  <c r="Q942" i="30"/>
  <c r="R942" i="30" s="1"/>
  <c r="O942" i="30" s="1"/>
  <c r="E943" i="30"/>
  <c r="I943" i="30"/>
  <c r="K943" i="30" s="1"/>
  <c r="G943" i="30" s="1"/>
  <c r="Q943" i="30"/>
  <c r="R943" i="30" s="1"/>
  <c r="O943" i="30" s="1"/>
  <c r="E944" i="30"/>
  <c r="I944" i="30"/>
  <c r="K944" i="30" s="1"/>
  <c r="G944" i="30" s="1"/>
  <c r="Q944" i="30"/>
  <c r="R944" i="30" s="1"/>
  <c r="O944" i="30" s="1"/>
  <c r="E945" i="30"/>
  <c r="I945" i="30"/>
  <c r="K945" i="30" s="1"/>
  <c r="G945" i="30" s="1"/>
  <c r="Q945" i="30"/>
  <c r="R945" i="30" s="1"/>
  <c r="O945" i="30" s="1"/>
  <c r="E946" i="30"/>
  <c r="I946" i="30"/>
  <c r="K946" i="30" s="1"/>
  <c r="G946" i="30" s="1"/>
  <c r="Q946" i="30"/>
  <c r="R946" i="30" s="1"/>
  <c r="O946" i="30" s="1"/>
  <c r="E947" i="30"/>
  <c r="I947" i="30"/>
  <c r="K947" i="30" s="1"/>
  <c r="G947" i="30" s="1"/>
  <c r="Q947" i="30"/>
  <c r="R947" i="30" s="1"/>
  <c r="O947" i="30" s="1"/>
  <c r="E948" i="30"/>
  <c r="I948" i="30"/>
  <c r="K948" i="30" s="1"/>
  <c r="G948" i="30" s="1"/>
  <c r="Q948" i="30"/>
  <c r="R948" i="30" s="1"/>
  <c r="O948" i="30" s="1"/>
  <c r="E949" i="30"/>
  <c r="I949" i="30"/>
  <c r="K949" i="30" s="1"/>
  <c r="G949" i="30" s="1"/>
  <c r="Q949" i="30"/>
  <c r="R949" i="30" s="1"/>
  <c r="O949" i="30" s="1"/>
  <c r="E950" i="30"/>
  <c r="I950" i="30"/>
  <c r="K950" i="30" s="1"/>
  <c r="G950" i="30" s="1"/>
  <c r="Q950" i="30"/>
  <c r="R950" i="30" s="1"/>
  <c r="O950" i="30" s="1"/>
  <c r="E951" i="30"/>
  <c r="I951" i="30"/>
  <c r="K951" i="30" s="1"/>
  <c r="G951" i="30" s="1"/>
  <c r="Q951" i="30"/>
  <c r="R951" i="30" s="1"/>
  <c r="O951" i="30" s="1"/>
  <c r="E952" i="30"/>
  <c r="I952" i="30"/>
  <c r="K952" i="30" s="1"/>
  <c r="G952" i="30" s="1"/>
  <c r="Q952" i="30"/>
  <c r="R952" i="30" s="1"/>
  <c r="O952" i="30" s="1"/>
  <c r="E953" i="30"/>
  <c r="I953" i="30"/>
  <c r="K953" i="30" s="1"/>
  <c r="G953" i="30" s="1"/>
  <c r="Q953" i="30"/>
  <c r="R953" i="30" s="1"/>
  <c r="O953" i="30" s="1"/>
  <c r="E954" i="30"/>
  <c r="I954" i="30"/>
  <c r="K954" i="30" s="1"/>
  <c r="G954" i="30" s="1"/>
  <c r="Q954" i="30"/>
  <c r="R954" i="30" s="1"/>
  <c r="O954" i="30" s="1"/>
  <c r="E955" i="30"/>
  <c r="I955" i="30"/>
  <c r="K955" i="30" s="1"/>
  <c r="G955" i="30" s="1"/>
  <c r="Q955" i="30"/>
  <c r="R955" i="30" s="1"/>
  <c r="O955" i="30" s="1"/>
  <c r="E956" i="30"/>
  <c r="I956" i="30"/>
  <c r="K956" i="30" s="1"/>
  <c r="G956" i="30" s="1"/>
  <c r="Q956" i="30"/>
  <c r="R956" i="30" s="1"/>
  <c r="O956" i="30" s="1"/>
  <c r="E957" i="30"/>
  <c r="I957" i="30"/>
  <c r="K957" i="30" s="1"/>
  <c r="G957" i="30" s="1"/>
  <c r="Q957" i="30"/>
  <c r="R957" i="30" s="1"/>
  <c r="O957" i="30" s="1"/>
  <c r="E958" i="30"/>
  <c r="I958" i="30"/>
  <c r="K958" i="30" s="1"/>
  <c r="G958" i="30" s="1"/>
  <c r="Q958" i="30"/>
  <c r="R958" i="30" s="1"/>
  <c r="O958" i="30" s="1"/>
  <c r="E959" i="30"/>
  <c r="I959" i="30"/>
  <c r="K959" i="30" s="1"/>
  <c r="G959" i="30" s="1"/>
  <c r="Q959" i="30"/>
  <c r="R959" i="30" s="1"/>
  <c r="O959" i="30" s="1"/>
  <c r="E960" i="30"/>
  <c r="I960" i="30"/>
  <c r="K960" i="30" s="1"/>
  <c r="G960" i="30" s="1"/>
  <c r="Q960" i="30"/>
  <c r="R960" i="30" s="1"/>
  <c r="O960" i="30" s="1"/>
  <c r="E961" i="30"/>
  <c r="I961" i="30"/>
  <c r="K961" i="30" s="1"/>
  <c r="G961" i="30" s="1"/>
  <c r="Q961" i="30"/>
  <c r="R961" i="30" s="1"/>
  <c r="O961" i="30" s="1"/>
  <c r="E962" i="30"/>
  <c r="I962" i="30"/>
  <c r="K962" i="30" s="1"/>
  <c r="G962" i="30" s="1"/>
  <c r="Q962" i="30"/>
  <c r="R962" i="30" s="1"/>
  <c r="O962" i="30" s="1"/>
  <c r="E963" i="30"/>
  <c r="I963" i="30"/>
  <c r="K963" i="30" s="1"/>
  <c r="G963" i="30" s="1"/>
  <c r="Q963" i="30"/>
  <c r="R963" i="30" s="1"/>
  <c r="O963" i="30" s="1"/>
  <c r="E964" i="30"/>
  <c r="I964" i="30"/>
  <c r="K964" i="30" s="1"/>
  <c r="G964" i="30" s="1"/>
  <c r="Q964" i="30"/>
  <c r="R964" i="30" s="1"/>
  <c r="O964" i="30" s="1"/>
  <c r="E965" i="30"/>
  <c r="I965" i="30"/>
  <c r="K965" i="30" s="1"/>
  <c r="G965" i="30" s="1"/>
  <c r="Q965" i="30"/>
  <c r="R965" i="30" s="1"/>
  <c r="O965" i="30" s="1"/>
  <c r="E966" i="30"/>
  <c r="I966" i="30"/>
  <c r="K966" i="30" s="1"/>
  <c r="G966" i="30" s="1"/>
  <c r="Q966" i="30"/>
  <c r="R966" i="30" s="1"/>
  <c r="O966" i="30" s="1"/>
  <c r="E967" i="30"/>
  <c r="I967" i="30"/>
  <c r="K967" i="30" s="1"/>
  <c r="G967" i="30" s="1"/>
  <c r="Q967" i="30"/>
  <c r="R967" i="30" s="1"/>
  <c r="O967" i="30" s="1"/>
  <c r="E968" i="30"/>
  <c r="I968" i="30"/>
  <c r="K968" i="30" s="1"/>
  <c r="G968" i="30" s="1"/>
  <c r="Q968" i="30"/>
  <c r="R968" i="30" s="1"/>
  <c r="O968" i="30" s="1"/>
  <c r="E969" i="30"/>
  <c r="I969" i="30"/>
  <c r="K969" i="30" s="1"/>
  <c r="G969" i="30" s="1"/>
  <c r="Q969" i="30"/>
  <c r="R969" i="30" s="1"/>
  <c r="O969" i="30" s="1"/>
  <c r="E970" i="30"/>
  <c r="I970" i="30"/>
  <c r="K970" i="30" s="1"/>
  <c r="G970" i="30" s="1"/>
  <c r="Q970" i="30"/>
  <c r="R970" i="30" s="1"/>
  <c r="O970" i="30" s="1"/>
  <c r="E971" i="30"/>
  <c r="I971" i="30"/>
  <c r="K971" i="30" s="1"/>
  <c r="G971" i="30" s="1"/>
  <c r="Q971" i="30"/>
  <c r="R971" i="30" s="1"/>
  <c r="O971" i="30" s="1"/>
  <c r="E972" i="30"/>
  <c r="I972" i="30"/>
  <c r="K972" i="30" s="1"/>
  <c r="G972" i="30" s="1"/>
  <c r="Q972" i="30"/>
  <c r="R972" i="30" s="1"/>
  <c r="O972" i="30" s="1"/>
  <c r="E973" i="30"/>
  <c r="I973" i="30"/>
  <c r="K973" i="30" s="1"/>
  <c r="G973" i="30" s="1"/>
  <c r="Q973" i="30"/>
  <c r="R973" i="30" s="1"/>
  <c r="O973" i="30" s="1"/>
  <c r="E974" i="30"/>
  <c r="I974" i="30"/>
  <c r="K974" i="30" s="1"/>
  <c r="G974" i="30" s="1"/>
  <c r="Q974" i="30"/>
  <c r="R974" i="30" s="1"/>
  <c r="O974" i="30" s="1"/>
  <c r="E975" i="30"/>
  <c r="I975" i="30"/>
  <c r="K975" i="30" s="1"/>
  <c r="G975" i="30" s="1"/>
  <c r="Q975" i="30"/>
  <c r="R975" i="30" s="1"/>
  <c r="O975" i="30" s="1"/>
  <c r="E976" i="30"/>
  <c r="I976" i="30"/>
  <c r="K976" i="30" s="1"/>
  <c r="G976" i="30" s="1"/>
  <c r="Q976" i="30"/>
  <c r="R976" i="30" s="1"/>
  <c r="O976" i="30" s="1"/>
  <c r="E977" i="30"/>
  <c r="I977" i="30"/>
  <c r="K977" i="30" s="1"/>
  <c r="G977" i="30" s="1"/>
  <c r="Q977" i="30"/>
  <c r="R977" i="30" s="1"/>
  <c r="O977" i="30" s="1"/>
  <c r="E978" i="30"/>
  <c r="I978" i="30"/>
  <c r="K978" i="30" s="1"/>
  <c r="G978" i="30" s="1"/>
  <c r="Q978" i="30"/>
  <c r="R978" i="30" s="1"/>
  <c r="O978" i="30" s="1"/>
  <c r="E979" i="30"/>
  <c r="I979" i="30"/>
  <c r="K979" i="30" s="1"/>
  <c r="G979" i="30" s="1"/>
  <c r="Q979" i="30"/>
  <c r="R979" i="30" s="1"/>
  <c r="O979" i="30" s="1"/>
  <c r="E980" i="30"/>
  <c r="I980" i="30"/>
  <c r="K980" i="30" s="1"/>
  <c r="G980" i="30" s="1"/>
  <c r="Q980" i="30"/>
  <c r="R980" i="30" s="1"/>
  <c r="O980" i="30" s="1"/>
  <c r="E981" i="30"/>
  <c r="I981" i="30"/>
  <c r="K981" i="30" s="1"/>
  <c r="G981" i="30" s="1"/>
  <c r="Q981" i="30"/>
  <c r="R981" i="30" s="1"/>
  <c r="O981" i="30" s="1"/>
  <c r="E982" i="30"/>
  <c r="I982" i="30"/>
  <c r="K982" i="30" s="1"/>
  <c r="G982" i="30" s="1"/>
  <c r="Q982" i="30"/>
  <c r="R982" i="30" s="1"/>
  <c r="O982" i="30" s="1"/>
  <c r="E983" i="30"/>
  <c r="I983" i="30"/>
  <c r="K983" i="30" s="1"/>
  <c r="G983" i="30" s="1"/>
  <c r="Q983" i="30"/>
  <c r="R983" i="30" s="1"/>
  <c r="O983" i="30" s="1"/>
  <c r="E984" i="30"/>
  <c r="I984" i="30"/>
  <c r="K984" i="30" s="1"/>
  <c r="G984" i="30" s="1"/>
  <c r="Q984" i="30"/>
  <c r="R984" i="30" s="1"/>
  <c r="O984" i="30" s="1"/>
  <c r="E985" i="30"/>
  <c r="I985" i="30"/>
  <c r="K985" i="30" s="1"/>
  <c r="G985" i="30" s="1"/>
  <c r="Q985" i="30"/>
  <c r="R985" i="30" s="1"/>
  <c r="O985" i="30" s="1"/>
  <c r="E986" i="30"/>
  <c r="I986" i="30"/>
  <c r="K986" i="30" s="1"/>
  <c r="G986" i="30" s="1"/>
  <c r="Q986" i="30"/>
  <c r="R986" i="30" s="1"/>
  <c r="O986" i="30" s="1"/>
  <c r="E987" i="30"/>
  <c r="I987" i="30"/>
  <c r="K987" i="30" s="1"/>
  <c r="G987" i="30" s="1"/>
  <c r="Q987" i="30"/>
  <c r="R987" i="30" s="1"/>
  <c r="O987" i="30" s="1"/>
  <c r="E988" i="30"/>
  <c r="I988" i="30"/>
  <c r="K988" i="30" s="1"/>
  <c r="G988" i="30" s="1"/>
  <c r="O988" i="30"/>
  <c r="Q988" i="30"/>
  <c r="R988" i="30" s="1"/>
  <c r="N988" i="30" s="1"/>
  <c r="I989" i="30"/>
  <c r="K989" i="30" s="1"/>
  <c r="E989" i="30" s="1"/>
  <c r="N989" i="30"/>
  <c r="O989" i="30"/>
  <c r="Q989" i="30"/>
  <c r="R989" i="30" s="1"/>
  <c r="E990" i="30"/>
  <c r="G990" i="30"/>
  <c r="I990" i="30"/>
  <c r="K990" i="30" s="1"/>
  <c r="O990" i="30"/>
  <c r="Q990" i="30"/>
  <c r="R990" i="30" s="1"/>
  <c r="N990" i="30" s="1"/>
  <c r="I991" i="30"/>
  <c r="K991" i="30" s="1"/>
  <c r="E991" i="30" s="1"/>
  <c r="N991" i="30"/>
  <c r="O991" i="30"/>
  <c r="Q991" i="30"/>
  <c r="R991" i="30" s="1"/>
  <c r="E992" i="30"/>
  <c r="G992" i="30"/>
  <c r="I992" i="30"/>
  <c r="K992" i="30" s="1"/>
  <c r="O992" i="30"/>
  <c r="Q992" i="30"/>
  <c r="R992" i="30" s="1"/>
  <c r="N992" i="30" s="1"/>
  <c r="I993" i="30"/>
  <c r="K993" i="30" s="1"/>
  <c r="E993" i="30" s="1"/>
  <c r="Q993" i="30"/>
  <c r="R993" i="30"/>
  <c r="O993" i="30" s="1"/>
  <c r="I994" i="30"/>
  <c r="K994" i="30"/>
  <c r="G994" i="30" s="1"/>
  <c r="Q994" i="30"/>
  <c r="R994" i="30"/>
  <c r="O994" i="30" s="1"/>
  <c r="I995" i="30"/>
  <c r="K995" i="30"/>
  <c r="G995" i="30" s="1"/>
  <c r="Q995" i="30"/>
  <c r="R995" i="30"/>
  <c r="O995" i="30" s="1"/>
  <c r="I996" i="30"/>
  <c r="K996" i="30"/>
  <c r="G996" i="30" s="1"/>
  <c r="Q996" i="30"/>
  <c r="R996" i="30"/>
  <c r="O996" i="30" s="1"/>
  <c r="I997" i="30"/>
  <c r="K997" i="30"/>
  <c r="G997" i="30" s="1"/>
  <c r="Q997" i="30"/>
  <c r="R997" i="30"/>
  <c r="O997" i="30" s="1"/>
  <c r="I998" i="30"/>
  <c r="K998" i="30"/>
  <c r="G998" i="30" s="1"/>
  <c r="Q998" i="30"/>
  <c r="R998" i="30"/>
  <c r="O998" i="30" s="1"/>
  <c r="I999" i="30"/>
  <c r="K999" i="30"/>
  <c r="G999" i="30" s="1"/>
  <c r="Q999" i="30"/>
  <c r="R999" i="30"/>
  <c r="O999" i="30" s="1"/>
  <c r="I1000" i="30"/>
  <c r="K1000" i="30"/>
  <c r="G1000" i="30" s="1"/>
  <c r="Q1000" i="30"/>
  <c r="R1000" i="30"/>
  <c r="O1000" i="30" s="1"/>
  <c r="I1001" i="30"/>
  <c r="K1001" i="30"/>
  <c r="G1001" i="30" s="1"/>
  <c r="Q1001" i="30"/>
  <c r="R1001" i="30"/>
  <c r="O1001" i="30" s="1"/>
  <c r="I1002" i="30"/>
  <c r="K1002" i="30"/>
  <c r="G1002" i="30" s="1"/>
  <c r="Q1002" i="30"/>
  <c r="R1002" i="30"/>
  <c r="O1002" i="30" s="1"/>
  <c r="I1003" i="30"/>
  <c r="K1003" i="30"/>
  <c r="G1003" i="30" s="1"/>
  <c r="Q1003" i="30"/>
  <c r="R1003" i="30"/>
  <c r="O1003" i="30" s="1"/>
  <c r="I1004" i="30"/>
  <c r="K1004" i="30"/>
  <c r="G1004" i="30" s="1"/>
  <c r="Q1004" i="30"/>
  <c r="R1004" i="30"/>
  <c r="O1004" i="30" s="1"/>
  <c r="I1005" i="30"/>
  <c r="K1005" i="30"/>
  <c r="G1005" i="30" s="1"/>
  <c r="Q1005" i="30"/>
  <c r="R1005" i="30"/>
  <c r="O1005" i="30" s="1"/>
  <c r="I1006" i="30"/>
  <c r="K1006" i="30"/>
  <c r="G1006" i="30" s="1"/>
  <c r="Q1006" i="30"/>
  <c r="R1006" i="30"/>
  <c r="O1006" i="30" s="1"/>
  <c r="I1007" i="30"/>
  <c r="K1007" i="30"/>
  <c r="G1007" i="30" s="1"/>
  <c r="Q1007" i="30"/>
  <c r="R1007" i="30"/>
  <c r="O1007" i="30" s="1"/>
  <c r="I1008" i="30"/>
  <c r="K1008" i="30"/>
  <c r="G1008" i="30" s="1"/>
  <c r="Q1008" i="30"/>
  <c r="R1008" i="30"/>
  <c r="O1008" i="30" s="1"/>
  <c r="I1009" i="30"/>
  <c r="K1009" i="30"/>
  <c r="G1009" i="30" s="1"/>
  <c r="Q1009" i="30"/>
  <c r="R1009" i="30"/>
  <c r="O1009" i="30" s="1"/>
  <c r="I1010" i="30"/>
  <c r="K1010" i="30"/>
  <c r="G1010" i="30" s="1"/>
  <c r="Q1010" i="30"/>
  <c r="R1010" i="30"/>
  <c r="O1010" i="30" s="1"/>
  <c r="I1011" i="30"/>
  <c r="K1011" i="30"/>
  <c r="G1011" i="30" s="1"/>
  <c r="Q1011" i="30"/>
  <c r="R1011" i="30"/>
  <c r="O1011" i="30" s="1"/>
  <c r="I1012" i="30"/>
  <c r="K1012" i="30"/>
  <c r="G1012" i="30" s="1"/>
  <c r="Q1012" i="30"/>
  <c r="R1012" i="30"/>
  <c r="O1012" i="30" s="1"/>
  <c r="I1013" i="30"/>
  <c r="K1013" i="30"/>
  <c r="G1013" i="30" s="1"/>
  <c r="Q1013" i="30"/>
  <c r="R1013" i="30"/>
  <c r="O1013" i="30" s="1"/>
  <c r="I1014" i="30"/>
  <c r="K1014" i="30"/>
  <c r="G1014" i="30" s="1"/>
  <c r="Q1014" i="30"/>
  <c r="R1014" i="30"/>
  <c r="O1014" i="30" s="1"/>
  <c r="I1015" i="30"/>
  <c r="K1015" i="30"/>
  <c r="G1015" i="30" s="1"/>
  <c r="Q1015" i="30"/>
  <c r="R1015" i="30"/>
  <c r="O1015" i="30" s="1"/>
  <c r="I1016" i="30"/>
  <c r="K1016" i="30"/>
  <c r="G1016" i="30" s="1"/>
  <c r="Q1016" i="30"/>
  <c r="R1016" i="30"/>
  <c r="O1016" i="30" s="1"/>
  <c r="I1017" i="30"/>
  <c r="K1017" i="30"/>
  <c r="G1017" i="30" s="1"/>
  <c r="Q1017" i="30"/>
  <c r="R1017" i="30"/>
  <c r="O1017" i="30" s="1"/>
  <c r="I1018" i="30"/>
  <c r="K1018" i="30"/>
  <c r="G1018" i="30" s="1"/>
  <c r="Q1018" i="30"/>
  <c r="R1018" i="30"/>
  <c r="O1018" i="30" s="1"/>
  <c r="I1019" i="30"/>
  <c r="K1019" i="30"/>
  <c r="G1019" i="30" s="1"/>
  <c r="Q1019" i="30"/>
  <c r="R1019" i="30"/>
  <c r="O1019" i="30" s="1"/>
  <c r="I1020" i="30"/>
  <c r="K1020" i="30"/>
  <c r="G1020" i="30" s="1"/>
  <c r="Q1020" i="30"/>
  <c r="R1020" i="30"/>
  <c r="O1020" i="30" s="1"/>
  <c r="I1021" i="30"/>
  <c r="K1021" i="30"/>
  <c r="G1021" i="30" s="1"/>
  <c r="Q1021" i="30"/>
  <c r="R1021" i="30"/>
  <c r="O1021" i="30" s="1"/>
  <c r="I1022" i="30"/>
  <c r="K1022" i="30"/>
  <c r="G1022" i="30" s="1"/>
  <c r="Q1022" i="30"/>
  <c r="R1022" i="30"/>
  <c r="O1022" i="30" s="1"/>
  <c r="I1023" i="30"/>
  <c r="K1023" i="30"/>
  <c r="G1023" i="30" s="1"/>
  <c r="Q1023" i="30"/>
  <c r="R1023" i="30"/>
  <c r="O1023" i="30" s="1"/>
  <c r="I1024" i="30"/>
  <c r="K1024" i="30"/>
  <c r="G1024" i="30" s="1"/>
  <c r="Q1024" i="30"/>
  <c r="R1024" i="30"/>
  <c r="O1024" i="30" s="1"/>
  <c r="I1025" i="30"/>
  <c r="K1025" i="30"/>
  <c r="G1025" i="30" s="1"/>
  <c r="Q1025" i="30"/>
  <c r="R1025" i="30"/>
  <c r="O1025" i="30" s="1"/>
  <c r="I1026" i="30"/>
  <c r="K1026" i="30"/>
  <c r="G1026" i="30" s="1"/>
  <c r="Q1026" i="30"/>
  <c r="R1026" i="30"/>
  <c r="O1026" i="30" s="1"/>
  <c r="I1027" i="30"/>
  <c r="K1027" i="30"/>
  <c r="G1027" i="30" s="1"/>
  <c r="Q1027" i="30"/>
  <c r="R1027" i="30"/>
  <c r="O1027" i="30" s="1"/>
  <c r="I1028" i="30"/>
  <c r="K1028" i="30"/>
  <c r="G1028" i="30" s="1"/>
  <c r="Q1028" i="30"/>
  <c r="R1028" i="30"/>
  <c r="O1028" i="30" s="1"/>
  <c r="I1029" i="30"/>
  <c r="K1029" i="30"/>
  <c r="G1029" i="30" s="1"/>
  <c r="Q1029" i="30"/>
  <c r="R1029" i="30"/>
  <c r="O1029" i="30" s="1"/>
  <c r="I1030" i="30"/>
  <c r="K1030" i="30"/>
  <c r="G1030" i="30" s="1"/>
  <c r="Q1030" i="30"/>
  <c r="R1030" i="30"/>
  <c r="O1030" i="30" s="1"/>
  <c r="I1031" i="30"/>
  <c r="K1031" i="30"/>
  <c r="G1031" i="30" s="1"/>
  <c r="Q1031" i="30"/>
  <c r="R1031" i="30"/>
  <c r="O1031" i="30" s="1"/>
  <c r="I1032" i="30"/>
  <c r="K1032" i="30"/>
  <c r="G1032" i="30" s="1"/>
  <c r="Q1032" i="30"/>
  <c r="R1032" i="30"/>
  <c r="O1032" i="30" s="1"/>
  <c r="I1033" i="30"/>
  <c r="K1033" i="30"/>
  <c r="G1033" i="30" s="1"/>
  <c r="Q1033" i="30"/>
  <c r="R1033" i="30"/>
  <c r="O1033" i="30" s="1"/>
  <c r="I1034" i="30"/>
  <c r="K1034" i="30"/>
  <c r="G1034" i="30" s="1"/>
  <c r="Q1034" i="30"/>
  <c r="R1034" i="30"/>
  <c r="O1034" i="30" s="1"/>
  <c r="I1035" i="30"/>
  <c r="K1035" i="30"/>
  <c r="G1035" i="30" s="1"/>
  <c r="Q1035" i="30"/>
  <c r="R1035" i="30"/>
  <c r="O1035" i="30" s="1"/>
  <c r="I1036" i="30"/>
  <c r="K1036" i="30"/>
  <c r="G1036" i="30" s="1"/>
  <c r="Q1036" i="30"/>
  <c r="R1036" i="30"/>
  <c r="O1036" i="30" s="1"/>
  <c r="I1037" i="30"/>
  <c r="K1037" i="30"/>
  <c r="G1037" i="30" s="1"/>
  <c r="Q1037" i="30"/>
  <c r="R1037" i="30"/>
  <c r="O1037" i="30" s="1"/>
  <c r="I1038" i="30"/>
  <c r="K1038" i="30"/>
  <c r="G1038" i="30" s="1"/>
  <c r="Q1038" i="30"/>
  <c r="R1038" i="30"/>
  <c r="O1038" i="30" s="1"/>
  <c r="I1039" i="30"/>
  <c r="K1039" i="30"/>
  <c r="G1039" i="30" s="1"/>
  <c r="Q1039" i="30"/>
  <c r="R1039" i="30"/>
  <c r="O1039" i="30" s="1"/>
  <c r="I1040" i="30"/>
  <c r="K1040" i="30"/>
  <c r="G1040" i="30" s="1"/>
  <c r="Q1040" i="30"/>
  <c r="R1040" i="30"/>
  <c r="O1040" i="30" s="1"/>
  <c r="I1041" i="30"/>
  <c r="K1041" i="30"/>
  <c r="G1041" i="30" s="1"/>
  <c r="Q1041" i="30"/>
  <c r="R1041" i="30"/>
  <c r="O1041" i="30" s="1"/>
  <c r="I1042" i="30"/>
  <c r="K1042" i="30"/>
  <c r="G1042" i="30" s="1"/>
  <c r="Q1042" i="30"/>
  <c r="R1042" i="30"/>
  <c r="O1042" i="30" s="1"/>
  <c r="I1043" i="30"/>
  <c r="K1043" i="30"/>
  <c r="G1043" i="30" s="1"/>
  <c r="Q1043" i="30"/>
  <c r="R1043" i="30"/>
  <c r="O1043" i="30" s="1"/>
  <c r="I1044" i="30"/>
  <c r="K1044" i="30"/>
  <c r="G1044" i="30" s="1"/>
  <c r="Q1044" i="30"/>
  <c r="R1044" i="30"/>
  <c r="O1044" i="30" s="1"/>
  <c r="I1045" i="30"/>
  <c r="K1045" i="30"/>
  <c r="G1045" i="30" s="1"/>
  <c r="Q1045" i="30"/>
  <c r="R1045" i="30"/>
  <c r="O1045" i="30" s="1"/>
  <c r="I1046" i="30"/>
  <c r="K1046" i="30"/>
  <c r="G1046" i="30" s="1"/>
  <c r="Q1046" i="30"/>
  <c r="R1046" i="30"/>
  <c r="O1046" i="30" s="1"/>
  <c r="I1047" i="30"/>
  <c r="K1047" i="30"/>
  <c r="G1047" i="30" s="1"/>
  <c r="Q1047" i="30"/>
  <c r="R1047" i="30"/>
  <c r="O1047" i="30" s="1"/>
  <c r="I1048" i="30"/>
  <c r="K1048" i="30"/>
  <c r="G1048" i="30" s="1"/>
  <c r="Q1048" i="30"/>
  <c r="R1048" i="30"/>
  <c r="O1048" i="30" s="1"/>
  <c r="I1049" i="30"/>
  <c r="K1049" i="30"/>
  <c r="G1049" i="30" s="1"/>
  <c r="Q1049" i="30"/>
  <c r="R1049" i="30"/>
  <c r="O1049" i="30" s="1"/>
  <c r="I1050" i="30"/>
  <c r="K1050" i="30"/>
  <c r="G1050" i="30" s="1"/>
  <c r="Q1050" i="30"/>
  <c r="R1050" i="30"/>
  <c r="O1050" i="30" s="1"/>
  <c r="I1051" i="30"/>
  <c r="K1051" i="30"/>
  <c r="G1051" i="30" s="1"/>
  <c r="Q1051" i="30"/>
  <c r="R1051" i="30"/>
  <c r="O1051" i="30" s="1"/>
  <c r="I1052" i="30"/>
  <c r="K1052" i="30"/>
  <c r="G1052" i="30" s="1"/>
  <c r="Q1052" i="30"/>
  <c r="R1052" i="30"/>
  <c r="O1052" i="30" s="1"/>
  <c r="I1053" i="30"/>
  <c r="K1053" i="30"/>
  <c r="G1053" i="30" s="1"/>
  <c r="Q1053" i="30"/>
  <c r="R1053" i="30"/>
  <c r="O1053" i="30" s="1"/>
  <c r="I1054" i="30"/>
  <c r="K1054" i="30"/>
  <c r="G1054" i="30" s="1"/>
  <c r="Q1054" i="30"/>
  <c r="R1054" i="30"/>
  <c r="O1054" i="30" s="1"/>
  <c r="I1055" i="30"/>
  <c r="K1055" i="30"/>
  <c r="G1055" i="30" s="1"/>
  <c r="Q1055" i="30"/>
  <c r="R1055" i="30"/>
  <c r="O1055" i="30" s="1"/>
  <c r="I1056" i="30"/>
  <c r="K1056" i="30"/>
  <c r="G1056" i="30" s="1"/>
  <c r="Q1056" i="30"/>
  <c r="R1056" i="30"/>
  <c r="O1056" i="30" s="1"/>
  <c r="I1057" i="30"/>
  <c r="K1057" i="30"/>
  <c r="G1057" i="30" s="1"/>
  <c r="Q1057" i="30"/>
  <c r="R1057" i="30"/>
  <c r="O1057" i="30" s="1"/>
  <c r="I1058" i="30"/>
  <c r="K1058" i="30"/>
  <c r="G1058" i="30" s="1"/>
  <c r="Q1058" i="30"/>
  <c r="R1058" i="30"/>
  <c r="O1058" i="30" s="1"/>
  <c r="I1059" i="30"/>
  <c r="K1059" i="30"/>
  <c r="G1059" i="30" s="1"/>
  <c r="Q1059" i="30"/>
  <c r="R1059" i="30"/>
  <c r="O1059" i="30" s="1"/>
  <c r="I1060" i="30"/>
  <c r="K1060" i="30"/>
  <c r="G1060" i="30" s="1"/>
  <c r="Q1060" i="30"/>
  <c r="R1060" i="30"/>
  <c r="O1060" i="30" s="1"/>
  <c r="I1061" i="30"/>
  <c r="K1061" i="30"/>
  <c r="G1061" i="30" s="1"/>
  <c r="Q1061" i="30"/>
  <c r="R1061" i="30"/>
  <c r="O1061" i="30" s="1"/>
  <c r="I1062" i="30"/>
  <c r="K1062" i="30"/>
  <c r="G1062" i="30" s="1"/>
  <c r="Q1062" i="30"/>
  <c r="R1062" i="30"/>
  <c r="O1062" i="30" s="1"/>
  <c r="I1063" i="30"/>
  <c r="K1063" i="30"/>
  <c r="G1063" i="30" s="1"/>
  <c r="Q1063" i="30"/>
  <c r="R1063" i="30"/>
  <c r="O1063" i="30" s="1"/>
  <c r="I1064" i="30"/>
  <c r="K1064" i="30"/>
  <c r="G1064" i="30" s="1"/>
  <c r="Q1064" i="30"/>
  <c r="R1064" i="30"/>
  <c r="O1064" i="30" s="1"/>
  <c r="I1065" i="30"/>
  <c r="K1065" i="30"/>
  <c r="G1065" i="30" s="1"/>
  <c r="Q1065" i="30"/>
  <c r="R1065" i="30"/>
  <c r="O1065" i="30" s="1"/>
  <c r="I1066" i="30"/>
  <c r="K1066" i="30"/>
  <c r="G1066" i="30" s="1"/>
  <c r="Q1066" i="30"/>
  <c r="R1066" i="30"/>
  <c r="O1066" i="30" s="1"/>
  <c r="I1067" i="30"/>
  <c r="K1067" i="30"/>
  <c r="G1067" i="30" s="1"/>
  <c r="Q1067" i="30"/>
  <c r="R1067" i="30"/>
  <c r="O1067" i="30" s="1"/>
  <c r="I1068" i="30"/>
  <c r="K1068" i="30"/>
  <c r="G1068" i="30" s="1"/>
  <c r="Q1068" i="30"/>
  <c r="R1068" i="30"/>
  <c r="O1068" i="30" s="1"/>
  <c r="I1069" i="30"/>
  <c r="K1069" i="30"/>
  <c r="G1069" i="30" s="1"/>
  <c r="Q1069" i="30"/>
  <c r="R1069" i="30"/>
  <c r="O1069" i="30" s="1"/>
  <c r="I1070" i="30"/>
  <c r="K1070" i="30"/>
  <c r="G1070" i="30" s="1"/>
  <c r="Q1070" i="30"/>
  <c r="R1070" i="30"/>
  <c r="O1070" i="30" s="1"/>
  <c r="I1071" i="30"/>
  <c r="K1071" i="30"/>
  <c r="G1071" i="30" s="1"/>
  <c r="Q1071" i="30"/>
  <c r="R1071" i="30"/>
  <c r="O1071" i="30" s="1"/>
  <c r="I1072" i="30"/>
  <c r="K1072" i="30"/>
  <c r="G1072" i="30" s="1"/>
  <c r="Q1072" i="30"/>
  <c r="R1072" i="30"/>
  <c r="O1072" i="30" s="1"/>
  <c r="I1073" i="30"/>
  <c r="K1073" i="30"/>
  <c r="G1073" i="30" s="1"/>
  <c r="Q1073" i="30"/>
  <c r="R1073" i="30"/>
  <c r="O1073" i="30" s="1"/>
  <c r="I1074" i="30"/>
  <c r="K1074" i="30"/>
  <c r="G1074" i="30" s="1"/>
  <c r="Q1074" i="30"/>
  <c r="R1074" i="30"/>
  <c r="O1074" i="30" s="1"/>
  <c r="I1075" i="30"/>
  <c r="K1075" i="30"/>
  <c r="G1075" i="30" s="1"/>
  <c r="Q1075" i="30"/>
  <c r="R1075" i="30"/>
  <c r="O1075" i="30" s="1"/>
  <c r="I1076" i="30"/>
  <c r="K1076" i="30"/>
  <c r="G1076" i="30" s="1"/>
  <c r="Q1076" i="30"/>
  <c r="R1076" i="30"/>
  <c r="O1076" i="30" s="1"/>
  <c r="I1077" i="30"/>
  <c r="K1077" i="30"/>
  <c r="G1077" i="30" s="1"/>
  <c r="Q1077" i="30"/>
  <c r="R1077" i="30"/>
  <c r="O1077" i="30" s="1"/>
  <c r="I1078" i="30"/>
  <c r="K1078" i="30"/>
  <c r="G1078" i="30" s="1"/>
  <c r="Q1078" i="30"/>
  <c r="R1078" i="30"/>
  <c r="O1078" i="30" s="1"/>
  <c r="I1079" i="30"/>
  <c r="K1079" i="30"/>
  <c r="G1079" i="30" s="1"/>
  <c r="Q1079" i="30"/>
  <c r="R1079" i="30"/>
  <c r="O1079" i="30" s="1"/>
  <c r="I1080" i="30"/>
  <c r="K1080" i="30"/>
  <c r="G1080" i="30" s="1"/>
  <c r="Q1080" i="30"/>
  <c r="R1080" i="30"/>
  <c r="O1080" i="30" s="1"/>
  <c r="I1081" i="30"/>
  <c r="K1081" i="30"/>
  <c r="G1081" i="30" s="1"/>
  <c r="Q1081" i="30"/>
  <c r="R1081" i="30"/>
  <c r="O1081" i="30" s="1"/>
  <c r="I1082" i="30"/>
  <c r="K1082" i="30"/>
  <c r="G1082" i="30" s="1"/>
  <c r="Q1082" i="30"/>
  <c r="R1082" i="30"/>
  <c r="O1082" i="30" s="1"/>
  <c r="I1083" i="30"/>
  <c r="K1083" i="30"/>
  <c r="G1083" i="30" s="1"/>
  <c r="Q1083" i="30"/>
  <c r="R1083" i="30"/>
  <c r="O1083" i="30" s="1"/>
  <c r="I1084" i="30"/>
  <c r="K1084" i="30"/>
  <c r="G1084" i="30" s="1"/>
  <c r="Q1084" i="30"/>
  <c r="R1084" i="30"/>
  <c r="O1084" i="30" s="1"/>
  <c r="I1085" i="30"/>
  <c r="K1085" i="30"/>
  <c r="G1085" i="30" s="1"/>
  <c r="Q1085" i="30"/>
  <c r="R1085" i="30"/>
  <c r="O1085" i="30" s="1"/>
  <c r="I1086" i="30"/>
  <c r="K1086" i="30"/>
  <c r="G1086" i="30" s="1"/>
  <c r="Q1086" i="30"/>
  <c r="R1086" i="30"/>
  <c r="O1086" i="30" s="1"/>
  <c r="I1087" i="30"/>
  <c r="K1087" i="30"/>
  <c r="G1087" i="30" s="1"/>
  <c r="Q1087" i="30"/>
  <c r="R1087" i="30"/>
  <c r="O1087" i="30" s="1"/>
  <c r="I1088" i="30"/>
  <c r="K1088" i="30"/>
  <c r="G1088" i="30" s="1"/>
  <c r="Q1088" i="30"/>
  <c r="R1088" i="30"/>
  <c r="O1088" i="30" s="1"/>
  <c r="I1089" i="30"/>
  <c r="K1089" i="30"/>
  <c r="G1089" i="30" s="1"/>
  <c r="Q1089" i="30"/>
  <c r="R1089" i="30"/>
  <c r="O1089" i="30" s="1"/>
  <c r="I1090" i="30"/>
  <c r="K1090" i="30"/>
  <c r="G1090" i="30" s="1"/>
  <c r="Q1090" i="30"/>
  <c r="R1090" i="30"/>
  <c r="O1090" i="30" s="1"/>
  <c r="I1091" i="30"/>
  <c r="K1091" i="30"/>
  <c r="G1091" i="30" s="1"/>
  <c r="Q1091" i="30"/>
  <c r="R1091" i="30"/>
  <c r="O1091" i="30" s="1"/>
  <c r="I1092" i="30"/>
  <c r="K1092" i="30"/>
  <c r="G1092" i="30" s="1"/>
  <c r="Q1092" i="30"/>
  <c r="R1092" i="30"/>
  <c r="O1092" i="30" s="1"/>
  <c r="I1093" i="30"/>
  <c r="K1093" i="30"/>
  <c r="G1093" i="30" s="1"/>
  <c r="Q1093" i="30"/>
  <c r="R1093" i="30"/>
  <c r="O1093" i="30" s="1"/>
  <c r="I1094" i="30"/>
  <c r="K1094" i="30"/>
  <c r="G1094" i="30" s="1"/>
  <c r="Q1094" i="30"/>
  <c r="R1094" i="30"/>
  <c r="O1094" i="30" s="1"/>
  <c r="I1095" i="30"/>
  <c r="K1095" i="30"/>
  <c r="G1095" i="30" s="1"/>
  <c r="Q1095" i="30"/>
  <c r="R1095" i="30"/>
  <c r="O1095" i="30" s="1"/>
  <c r="I1096" i="30"/>
  <c r="K1096" i="30"/>
  <c r="G1096" i="30" s="1"/>
  <c r="Q1096" i="30"/>
  <c r="R1096" i="30"/>
  <c r="O1096" i="30" s="1"/>
  <c r="I1097" i="30"/>
  <c r="K1097" i="30"/>
  <c r="G1097" i="30" s="1"/>
  <c r="Q1097" i="30"/>
  <c r="R1097" i="30"/>
  <c r="O1097" i="30" s="1"/>
  <c r="B3" i="8"/>
  <c r="F21" i="8"/>
  <c r="G21" i="8"/>
  <c r="H21" i="8"/>
  <c r="N21" i="8"/>
  <c r="O21" i="8"/>
  <c r="P21" i="8" s="1"/>
  <c r="F22" i="8"/>
  <c r="G22" i="8"/>
  <c r="H22" i="8" s="1"/>
  <c r="N22" i="8"/>
  <c r="O22" i="8"/>
  <c r="P22" i="8"/>
  <c r="F23" i="8"/>
  <c r="G23" i="8"/>
  <c r="H23" i="8"/>
  <c r="N23" i="8"/>
  <c r="O23" i="8"/>
  <c r="P23" i="8" s="1"/>
  <c r="N24" i="8"/>
  <c r="O24" i="8"/>
  <c r="P24" i="8" s="1"/>
  <c r="F25" i="8"/>
  <c r="G25" i="8"/>
  <c r="H25" i="8"/>
  <c r="N25" i="8"/>
  <c r="O25" i="8"/>
  <c r="P25" i="8"/>
  <c r="F26" i="8"/>
  <c r="G26" i="8"/>
  <c r="H26" i="8" s="1"/>
  <c r="F27" i="8"/>
  <c r="G27" i="8"/>
  <c r="H27" i="8" s="1"/>
  <c r="N27" i="8"/>
  <c r="O27" i="8"/>
  <c r="P27" i="8"/>
  <c r="F28" i="8"/>
  <c r="G28" i="8"/>
  <c r="H28" i="8"/>
  <c r="N28" i="8"/>
  <c r="O28" i="8"/>
  <c r="P28" i="8" s="1"/>
  <c r="F29" i="8"/>
  <c r="G29" i="8"/>
  <c r="H29" i="8" s="1"/>
  <c r="N29" i="8"/>
  <c r="O29" i="8"/>
  <c r="P29" i="8"/>
  <c r="F30" i="8"/>
  <c r="G30" i="8"/>
  <c r="H30" i="8"/>
  <c r="N30" i="8"/>
  <c r="O30" i="8"/>
  <c r="P30" i="8" s="1"/>
  <c r="F31" i="8"/>
  <c r="G31" i="8"/>
  <c r="H31" i="8" s="1"/>
  <c r="N31" i="8"/>
  <c r="O31" i="8"/>
  <c r="P31" i="8"/>
  <c r="F33" i="8"/>
  <c r="G33" i="8"/>
  <c r="H33" i="8"/>
  <c r="N33" i="8"/>
  <c r="O33" i="8"/>
  <c r="P33" i="8" s="1"/>
  <c r="F34" i="8"/>
  <c r="G34" i="8"/>
  <c r="H34" i="8" s="1"/>
  <c r="N34" i="8"/>
  <c r="O34" i="8"/>
  <c r="P34" i="8"/>
  <c r="F35" i="8"/>
  <c r="G35" i="8"/>
  <c r="H35" i="8"/>
  <c r="N35" i="8"/>
  <c r="O35" i="8"/>
  <c r="P35" i="8" s="1"/>
  <c r="F36" i="8"/>
  <c r="G36" i="8"/>
  <c r="H36" i="8" s="1"/>
  <c r="N36" i="8"/>
  <c r="O36" i="8"/>
  <c r="P36" i="8"/>
  <c r="F37" i="8"/>
  <c r="G37" i="8"/>
  <c r="H37" i="8"/>
  <c r="N37" i="8"/>
  <c r="O37" i="8"/>
  <c r="P37" i="8" s="1"/>
  <c r="F38" i="8"/>
  <c r="G38" i="8"/>
  <c r="H38" i="8" s="1"/>
  <c r="F39" i="8"/>
  <c r="G39" i="8"/>
  <c r="H39" i="8"/>
  <c r="N39" i="8"/>
  <c r="O39" i="8"/>
  <c r="P39" i="8"/>
  <c r="N40" i="8"/>
  <c r="O40" i="8"/>
  <c r="P40" i="8" s="1"/>
  <c r="F41" i="8"/>
  <c r="G41" i="8"/>
  <c r="H41" i="8" s="1"/>
  <c r="N41" i="8"/>
  <c r="O41" i="8"/>
  <c r="P41" i="8"/>
  <c r="F42" i="8"/>
  <c r="G42" i="8"/>
  <c r="H42" i="8"/>
  <c r="N42" i="8"/>
  <c r="O42" i="8"/>
  <c r="P42" i="8" s="1"/>
  <c r="F43" i="8"/>
  <c r="G43" i="8"/>
  <c r="H43" i="8" s="1"/>
  <c r="N43" i="8"/>
  <c r="O43" i="8"/>
  <c r="P43" i="8"/>
  <c r="F44" i="8"/>
  <c r="G44" i="8"/>
  <c r="H44" i="8"/>
  <c r="N45" i="8"/>
  <c r="O45" i="8"/>
  <c r="P45" i="8" s="1"/>
  <c r="F46" i="8"/>
  <c r="G46" i="8"/>
  <c r="H46" i="8" s="1"/>
  <c r="N46" i="8"/>
  <c r="O46" i="8"/>
  <c r="P46" i="8"/>
  <c r="F47" i="8"/>
  <c r="G47" i="8"/>
  <c r="H47" i="8"/>
  <c r="N47" i="8"/>
  <c r="O47" i="8"/>
  <c r="P47" i="8" s="1"/>
  <c r="F48" i="8"/>
  <c r="G48" i="8"/>
  <c r="H48" i="8" s="1"/>
  <c r="N48" i="8"/>
  <c r="O48" i="8"/>
  <c r="P48" i="8"/>
  <c r="F49" i="8"/>
  <c r="G49" i="8"/>
  <c r="H49" i="8"/>
  <c r="N49" i="8"/>
  <c r="O49" i="8"/>
  <c r="P49" i="8" s="1"/>
  <c r="F51" i="8"/>
  <c r="G51" i="8"/>
  <c r="H51" i="8" s="1"/>
  <c r="N51" i="8"/>
  <c r="O51" i="8"/>
  <c r="P51" i="8"/>
  <c r="F52" i="8"/>
  <c r="G52" i="8"/>
  <c r="H52" i="8"/>
  <c r="N52" i="8"/>
  <c r="O52" i="8"/>
  <c r="P52" i="8" s="1"/>
  <c r="F53" i="8"/>
  <c r="G53" i="8"/>
  <c r="H53" i="8" s="1"/>
  <c r="N53" i="8"/>
  <c r="O53" i="8"/>
  <c r="P53" i="8"/>
  <c r="F54" i="8"/>
  <c r="G54" i="8"/>
  <c r="H54" i="8"/>
  <c r="N54" i="8"/>
  <c r="O54" i="8"/>
  <c r="P54" i="8" s="1"/>
  <c r="F55" i="8"/>
  <c r="G55" i="8"/>
  <c r="H55" i="8" s="1"/>
  <c r="N55" i="8"/>
  <c r="O55" i="8"/>
  <c r="P55" i="8"/>
  <c r="F56" i="8"/>
  <c r="G56" i="8"/>
  <c r="H56" i="8"/>
  <c r="N56" i="8"/>
  <c r="O56" i="8"/>
  <c r="P56" i="8" s="1"/>
  <c r="F57" i="8"/>
  <c r="G57" i="8"/>
  <c r="H57" i="8" s="1"/>
  <c r="F58" i="8"/>
  <c r="G58" i="8"/>
  <c r="H58" i="8"/>
  <c r="N58" i="8"/>
  <c r="O58" i="8"/>
  <c r="P58" i="8"/>
  <c r="F59" i="8"/>
  <c r="G59" i="8"/>
  <c r="H59" i="8" s="1"/>
  <c r="N59" i="8"/>
  <c r="O59" i="8"/>
  <c r="P59" i="8" s="1"/>
  <c r="N60" i="8"/>
  <c r="O60" i="8"/>
  <c r="P60" i="8"/>
  <c r="F61" i="8"/>
  <c r="G61" i="8"/>
  <c r="H61" i="8"/>
  <c r="N61" i="8"/>
  <c r="O61" i="8"/>
  <c r="P61" i="8" s="1"/>
  <c r="F62" i="8"/>
  <c r="G62" i="8"/>
  <c r="H62" i="8" s="1"/>
  <c r="N62" i="8"/>
  <c r="O62" i="8"/>
  <c r="P62" i="8"/>
  <c r="F63" i="8"/>
  <c r="G63" i="8"/>
  <c r="H63" i="8"/>
  <c r="N63" i="8"/>
  <c r="O63" i="8"/>
  <c r="P63" i="8" s="1"/>
  <c r="F64" i="8"/>
  <c r="G64" i="8"/>
  <c r="H64" i="8" s="1"/>
  <c r="F65" i="8"/>
  <c r="G65" i="8"/>
  <c r="H65" i="8"/>
  <c r="N65" i="8"/>
  <c r="O65" i="8"/>
  <c r="P65" i="8"/>
  <c r="F66" i="8"/>
  <c r="G66" i="8"/>
  <c r="H66" i="8" s="1"/>
  <c r="N66" i="8"/>
  <c r="O66" i="8"/>
  <c r="P66" i="8" s="1"/>
  <c r="F67" i="8"/>
  <c r="G67" i="8"/>
  <c r="H67" i="8"/>
  <c r="N67" i="8"/>
  <c r="O67" i="8"/>
  <c r="P67" i="8"/>
  <c r="F68" i="8"/>
  <c r="G68" i="8"/>
  <c r="H68" i="8" s="1"/>
  <c r="N68" i="8"/>
  <c r="O68" i="8"/>
  <c r="P68" i="8" s="1"/>
  <c r="N69" i="8"/>
  <c r="O69" i="8"/>
  <c r="P69" i="8"/>
  <c r="F70" i="8"/>
  <c r="G70" i="8"/>
  <c r="H70" i="8"/>
  <c r="N70" i="8"/>
  <c r="O70" i="8"/>
  <c r="P70" i="8" s="1"/>
  <c r="F71" i="8"/>
  <c r="G71" i="8"/>
  <c r="H71" i="8" s="1"/>
  <c r="F72" i="8"/>
  <c r="G72" i="8"/>
  <c r="H72" i="8"/>
  <c r="N72" i="8"/>
  <c r="O72" i="8"/>
  <c r="P72" i="8"/>
  <c r="N73" i="8"/>
  <c r="O73" i="8"/>
  <c r="P73" i="8" s="1"/>
  <c r="F74" i="8"/>
  <c r="G74" i="8"/>
  <c r="H74" i="8" s="1"/>
  <c r="N74" i="8"/>
  <c r="O74" i="8"/>
  <c r="P74" i="8"/>
  <c r="F75" i="8"/>
  <c r="G75" i="8"/>
  <c r="H75" i="8"/>
  <c r="N75" i="8"/>
  <c r="O75" i="8"/>
  <c r="P75" i="8" s="1"/>
  <c r="F76" i="8"/>
  <c r="G76" i="8"/>
  <c r="H76" i="8" s="1"/>
  <c r="N76" i="8"/>
  <c r="O76" i="8"/>
  <c r="P76" i="8"/>
  <c r="F77" i="8"/>
  <c r="G77" i="8"/>
  <c r="H77" i="8"/>
  <c r="F78" i="8"/>
  <c r="G78" i="8"/>
  <c r="H78" i="8" s="1"/>
  <c r="N78" i="8"/>
  <c r="O78" i="8"/>
  <c r="P78" i="8" s="1"/>
  <c r="F79" i="8"/>
  <c r="G79" i="8"/>
  <c r="H79" i="8"/>
  <c r="N79" i="8"/>
  <c r="O79" i="8"/>
  <c r="P79" i="8"/>
  <c r="F80" i="8"/>
  <c r="G80" i="8"/>
  <c r="H80" i="8" s="1"/>
  <c r="N80" i="8"/>
  <c r="O80" i="8"/>
  <c r="P80" i="8" s="1"/>
  <c r="N81" i="8"/>
  <c r="O81" i="8"/>
  <c r="P81" i="8"/>
  <c r="F82" i="8"/>
  <c r="G82" i="8"/>
  <c r="H82" i="8"/>
  <c r="F83" i="8"/>
  <c r="G83" i="8"/>
  <c r="H83" i="8" s="1"/>
  <c r="N83" i="8"/>
  <c r="O83" i="8"/>
  <c r="P83" i="8" s="1"/>
  <c r="F84" i="8"/>
  <c r="G84" i="8"/>
  <c r="H84" i="8"/>
  <c r="N84" i="8"/>
  <c r="O84" i="8"/>
  <c r="P84" i="8"/>
  <c r="F85" i="8"/>
  <c r="G85" i="8"/>
  <c r="H85" i="8" s="1"/>
  <c r="N85" i="8"/>
  <c r="O85" i="8"/>
  <c r="P85" i="8" s="1"/>
  <c r="F86" i="8"/>
  <c r="G86" i="8"/>
  <c r="H86" i="8"/>
  <c r="N86" i="8"/>
  <c r="O86" i="8"/>
  <c r="P86" i="8"/>
  <c r="F87" i="8"/>
  <c r="G87" i="8"/>
  <c r="H87" i="8" s="1"/>
  <c r="N87" i="8"/>
  <c r="O87" i="8"/>
  <c r="P87" i="8" s="1"/>
  <c r="F88" i="8"/>
  <c r="G88" i="8"/>
  <c r="H88" i="8"/>
  <c r="N89" i="8"/>
  <c r="O89" i="8"/>
  <c r="P89" i="8"/>
  <c r="F90" i="8"/>
  <c r="G90" i="8"/>
  <c r="H90" i="8" s="1"/>
  <c r="N90" i="8"/>
  <c r="O90" i="8"/>
  <c r="P90" i="8" s="1"/>
  <c r="F91" i="8"/>
  <c r="G91" i="8"/>
  <c r="H91" i="8"/>
  <c r="F92" i="8"/>
  <c r="G92" i="8"/>
  <c r="H92" i="8"/>
  <c r="N92" i="8"/>
  <c r="O92" i="8"/>
  <c r="P92" i="8" s="1"/>
  <c r="F93" i="8"/>
  <c r="G93" i="8"/>
  <c r="H93" i="8" s="1"/>
  <c r="N93" i="8"/>
  <c r="O93" i="8"/>
  <c r="P93" i="8"/>
  <c r="F94" i="8"/>
  <c r="G94" i="8"/>
  <c r="H94" i="8"/>
  <c r="F95" i="8"/>
  <c r="G95" i="8"/>
  <c r="H95" i="8" s="1"/>
  <c r="N95" i="8"/>
  <c r="O95" i="8"/>
  <c r="P95" i="8" s="1"/>
  <c r="N96" i="8"/>
  <c r="O96" i="8"/>
  <c r="P96" i="8"/>
  <c r="F97" i="8"/>
  <c r="G97" i="8"/>
  <c r="H97" i="8"/>
  <c r="F98" i="8"/>
  <c r="G98" i="8"/>
  <c r="H98" i="8" s="1"/>
  <c r="N98" i="8"/>
  <c r="O98" i="8"/>
  <c r="P98" i="8" s="1"/>
  <c r="F99" i="8"/>
  <c r="G99" i="8"/>
  <c r="H99" i="8"/>
  <c r="F100" i="8"/>
  <c r="G100" i="8"/>
  <c r="H100" i="8"/>
  <c r="N100" i="8"/>
  <c r="O100" i="8"/>
  <c r="P100" i="8" s="1"/>
  <c r="F101" i="8"/>
  <c r="G101" i="8"/>
  <c r="H101" i="8" s="1"/>
  <c r="F102" i="8"/>
  <c r="G102" i="8"/>
  <c r="H102" i="8"/>
  <c r="F103" i="8"/>
  <c r="G103" i="8"/>
  <c r="H103" i="8"/>
  <c r="D8" i="25"/>
  <c r="F8" i="25"/>
  <c r="G8" i="25"/>
  <c r="E8" i="25" s="1"/>
  <c r="K8" i="25"/>
  <c r="M8" i="25"/>
  <c r="N8" i="25"/>
  <c r="L8" i="25" s="1"/>
  <c r="D9" i="25"/>
  <c r="E9" i="25"/>
  <c r="F9" i="25"/>
  <c r="G9" i="25"/>
  <c r="K9" i="25"/>
  <c r="L9" i="25"/>
  <c r="M9" i="25"/>
  <c r="N9" i="25"/>
  <c r="D10" i="25"/>
  <c r="E10" i="25"/>
  <c r="F10" i="25"/>
  <c r="G10" i="25"/>
  <c r="K10" i="25"/>
  <c r="L10" i="25"/>
  <c r="M10" i="25"/>
  <c r="N10" i="25"/>
  <c r="D11" i="25"/>
  <c r="E11" i="25"/>
  <c r="F11" i="25"/>
  <c r="G11" i="25"/>
  <c r="K11" i="25"/>
  <c r="L11" i="25"/>
  <c r="M11" i="25"/>
  <c r="N11" i="25"/>
  <c r="D12" i="25"/>
  <c r="E12" i="25"/>
  <c r="F12" i="25"/>
  <c r="G12" i="25"/>
  <c r="K12" i="25"/>
  <c r="L12" i="25"/>
  <c r="M12" i="25"/>
  <c r="N12" i="25"/>
  <c r="D13" i="25"/>
  <c r="E13" i="25"/>
  <c r="F13" i="25"/>
  <c r="G13" i="25"/>
  <c r="K13" i="25"/>
  <c r="L13" i="25"/>
  <c r="M13" i="25"/>
  <c r="N13" i="25"/>
  <c r="D14" i="25"/>
  <c r="E14" i="25"/>
  <c r="F14" i="25"/>
  <c r="G14" i="25"/>
  <c r="K14" i="25"/>
  <c r="L14" i="25"/>
  <c r="M14" i="25"/>
  <c r="N14" i="25"/>
  <c r="D15" i="25"/>
  <c r="E15" i="25"/>
  <c r="F15" i="25"/>
  <c r="G15" i="25"/>
  <c r="K15" i="25"/>
  <c r="L15" i="25"/>
  <c r="M15" i="25"/>
  <c r="N15" i="25"/>
  <c r="D16" i="25"/>
  <c r="E16" i="25"/>
  <c r="F16" i="25"/>
  <c r="G16" i="25"/>
  <c r="K16" i="25"/>
  <c r="L16" i="25"/>
  <c r="M16" i="25"/>
  <c r="N16" i="25"/>
  <c r="D30" i="25"/>
  <c r="H30" i="25"/>
  <c r="J30" i="25"/>
  <c r="D31" i="25"/>
  <c r="H31" i="25"/>
  <c r="J31" i="25"/>
  <c r="H32" i="25"/>
  <c r="J32" i="25"/>
  <c r="D33" i="25"/>
  <c r="H33" i="25"/>
  <c r="J33" i="25"/>
  <c r="D34" i="25"/>
  <c r="H34" i="25"/>
  <c r="J34" i="25"/>
  <c r="D35" i="25"/>
  <c r="H35" i="25"/>
  <c r="J35" i="25"/>
  <c r="D36" i="25"/>
  <c r="H36" i="25"/>
  <c r="J36" i="25"/>
  <c r="D37" i="25"/>
  <c r="H37" i="25"/>
  <c r="J37" i="25"/>
  <c r="D38" i="25"/>
  <c r="H38" i="25"/>
  <c r="J38" i="25"/>
  <c r="I77" i="25"/>
  <c r="J77" i="25"/>
  <c r="K77" i="25"/>
  <c r="I78" i="25"/>
  <c r="J78" i="25"/>
  <c r="K78" i="25"/>
  <c r="I79" i="25"/>
  <c r="J79" i="25"/>
  <c r="I80" i="25"/>
  <c r="J80" i="25"/>
  <c r="K80" i="25"/>
  <c r="J81" i="25"/>
  <c r="K81" i="25"/>
  <c r="I82" i="25"/>
  <c r="J82" i="25"/>
  <c r="K82" i="25"/>
  <c r="I83" i="25"/>
  <c r="J83" i="25"/>
  <c r="K83" i="25"/>
  <c r="C2" i="15"/>
  <c r="R6" i="15"/>
  <c r="S6" i="15"/>
  <c r="S8" i="15" s="1"/>
  <c r="S11" i="15" s="1"/>
  <c r="S12" i="15" s="1"/>
  <c r="R7" i="15"/>
  <c r="S7" i="15"/>
  <c r="S9" i="15"/>
  <c r="S10" i="15"/>
  <c r="S15" i="15"/>
  <c r="V15" i="15" s="1"/>
  <c r="T15" i="15"/>
  <c r="Y15" i="15" s="1"/>
  <c r="T17" i="15"/>
  <c r="S19" i="15"/>
  <c r="T34" i="15"/>
  <c r="U34" i="15"/>
  <c r="S35" i="15"/>
  <c r="T35" i="15" s="1"/>
  <c r="T36" i="15" s="1"/>
  <c r="U39" i="15"/>
  <c r="V39" i="15"/>
  <c r="U44" i="15" s="1"/>
  <c r="U41" i="15"/>
  <c r="D50" i="15"/>
  <c r="T48" i="15" s="1"/>
  <c r="U55" i="15"/>
  <c r="U59" i="15"/>
  <c r="V59" i="15"/>
  <c r="U61" i="15"/>
  <c r="V61" i="15"/>
  <c r="T66" i="15"/>
  <c r="U66" i="15"/>
  <c r="S67" i="15"/>
  <c r="T67" i="15" s="1"/>
  <c r="T68" i="15" s="1"/>
  <c r="U72" i="15"/>
  <c r="V72" i="15" s="1"/>
  <c r="V74" i="15" s="1"/>
  <c r="U74" i="15" s="1"/>
  <c r="U73" i="15"/>
  <c r="V73" i="15"/>
  <c r="U76" i="15"/>
  <c r="V76" i="15" s="1"/>
  <c r="U80" i="15"/>
  <c r="V80" i="15"/>
  <c r="U81" i="15"/>
  <c r="V81" i="15" s="1"/>
  <c r="V82" i="15" s="1"/>
  <c r="U82" i="15" s="1"/>
  <c r="D82" i="15"/>
  <c r="S70" i="15" s="1"/>
  <c r="U84" i="15"/>
  <c r="V84" i="15" s="1"/>
  <c r="U86" i="15"/>
  <c r="V86" i="15" s="1"/>
  <c r="V88" i="15" s="1"/>
  <c r="U88" i="15" s="1"/>
  <c r="U87" i="15"/>
  <c r="V87" i="15"/>
  <c r="V95" i="15"/>
  <c r="V96" i="15" s="1"/>
  <c r="S107" i="15"/>
  <c r="T107" i="15"/>
  <c r="S110" i="15"/>
  <c r="T110" i="15" s="1"/>
  <c r="D115" i="15"/>
  <c r="S106" i="15" s="1"/>
  <c r="T106" i="15" s="1"/>
  <c r="T108" i="15" s="1"/>
  <c r="G116" i="15" s="1"/>
  <c r="S115" i="15"/>
  <c r="T114" i="15" s="1"/>
  <c r="S116" i="15"/>
  <c r="S114" i="15" s="1"/>
  <c r="C134" i="15"/>
  <c r="R137" i="15"/>
  <c r="S137" i="15" s="1"/>
  <c r="S139" i="15" s="1"/>
  <c r="R138" i="15"/>
  <c r="S138" i="15" s="1"/>
  <c r="S140" i="15"/>
  <c r="S141" i="15" s="1"/>
  <c r="S146" i="15"/>
  <c r="T148" i="15"/>
  <c r="S150" i="15"/>
  <c r="S152" i="15"/>
  <c r="M160" i="15"/>
  <c r="S154" i="15" s="1"/>
  <c r="C170" i="15"/>
  <c r="S186" i="15" s="1"/>
  <c r="R173" i="15"/>
  <c r="S173" i="15"/>
  <c r="S175" i="15" s="1"/>
  <c r="S178" i="15" s="1"/>
  <c r="S179" i="15" s="1"/>
  <c r="R174" i="15"/>
  <c r="S174" i="15"/>
  <c r="S176" i="15"/>
  <c r="S177" i="15"/>
  <c r="S182" i="15"/>
  <c r="V182" i="15" s="1"/>
  <c r="T182" i="15"/>
  <c r="Y182" i="15" s="1"/>
  <c r="T184" i="15"/>
  <c r="S188" i="15"/>
  <c r="S190" i="15"/>
  <c r="M196" i="15"/>
  <c r="B1" i="7"/>
  <c r="L19" i="7"/>
  <c r="M19" i="7" s="1"/>
  <c r="N19" i="7"/>
  <c r="L20" i="7"/>
  <c r="M20" i="7"/>
  <c r="N20" i="7"/>
  <c r="L21" i="7"/>
  <c r="M21" i="7"/>
  <c r="N21" i="7"/>
  <c r="L23" i="7"/>
  <c r="M23" i="7" s="1"/>
  <c r="N23" i="7"/>
  <c r="L24" i="7"/>
  <c r="M24" i="7" s="1"/>
  <c r="N24" i="7"/>
  <c r="L25" i="7"/>
  <c r="M25" i="7"/>
  <c r="N25" i="7"/>
  <c r="L27" i="7"/>
  <c r="M27" i="7"/>
  <c r="N27" i="7"/>
  <c r="L28" i="7"/>
  <c r="M28" i="7" s="1"/>
  <c r="N28" i="7"/>
  <c r="L29" i="7"/>
  <c r="M29" i="7" s="1"/>
  <c r="N29" i="7"/>
  <c r="L30" i="7"/>
  <c r="M30" i="7"/>
  <c r="N30" i="7"/>
  <c r="L32" i="7"/>
  <c r="M32" i="7"/>
  <c r="N32" i="7"/>
  <c r="L33" i="7"/>
  <c r="M33" i="7" s="1"/>
  <c r="N33" i="7"/>
  <c r="L34" i="7"/>
  <c r="M34" i="7" s="1"/>
  <c r="N34" i="7"/>
  <c r="L36" i="7"/>
  <c r="M36" i="7"/>
  <c r="N36" i="7"/>
  <c r="L37" i="7"/>
  <c r="M37" i="7"/>
  <c r="N37" i="7"/>
  <c r="L38" i="7"/>
  <c r="M38" i="7" s="1"/>
  <c r="N38" i="7"/>
  <c r="L40" i="7"/>
  <c r="M40" i="7" s="1"/>
  <c r="N40" i="7"/>
  <c r="L41" i="7"/>
  <c r="M41" i="7"/>
  <c r="N41" i="7"/>
  <c r="L42" i="7"/>
  <c r="M42" i="7"/>
  <c r="N42" i="7"/>
  <c r="L44" i="7"/>
  <c r="M44" i="7" s="1"/>
  <c r="N44" i="7"/>
  <c r="L45" i="7"/>
  <c r="M45" i="7" s="1"/>
  <c r="N45" i="7"/>
  <c r="L46" i="7"/>
  <c r="M46" i="7"/>
  <c r="N46" i="7"/>
  <c r="L48" i="7"/>
  <c r="M48" i="7"/>
  <c r="N48" i="7"/>
  <c r="L49" i="7"/>
  <c r="M49" i="7" s="1"/>
  <c r="N49" i="7"/>
  <c r="L51" i="7"/>
  <c r="M51" i="7" s="1"/>
  <c r="N51" i="7"/>
  <c r="L52" i="7"/>
  <c r="M52" i="7"/>
  <c r="N52" i="7"/>
  <c r="L54" i="7"/>
  <c r="M54" i="7"/>
  <c r="N54" i="7"/>
  <c r="L55" i="7"/>
  <c r="M55" i="7" s="1"/>
  <c r="N55" i="7"/>
  <c r="L56" i="7"/>
  <c r="M56" i="7" s="1"/>
  <c r="N56" i="7"/>
  <c r="F2" i="27"/>
  <c r="F4" i="27"/>
  <c r="C9" i="27"/>
  <c r="M9" i="27"/>
  <c r="C10" i="27"/>
  <c r="M10" i="27"/>
  <c r="F17" i="27"/>
  <c r="I18" i="27"/>
  <c r="F19" i="27"/>
  <c r="I19" i="27"/>
  <c r="G26" i="27"/>
  <c r="I53" i="27"/>
  <c r="J53" i="27"/>
  <c r="K53" i="27"/>
  <c r="L53" i="27"/>
  <c r="I54" i="27"/>
  <c r="J54" i="27"/>
  <c r="K54" i="27"/>
  <c r="L54" i="27"/>
  <c r="I55" i="27"/>
  <c r="J55" i="27"/>
  <c r="K55" i="27"/>
  <c r="L55" i="27"/>
  <c r="I56" i="27"/>
  <c r="J56" i="27"/>
  <c r="K56" i="27"/>
  <c r="L56" i="27"/>
  <c r="I57" i="27"/>
  <c r="J57" i="27"/>
  <c r="K57" i="27"/>
  <c r="L57" i="27"/>
  <c r="I58" i="27"/>
  <c r="J58" i="27"/>
  <c r="K58" i="27"/>
  <c r="L58" i="27"/>
  <c r="I59" i="27"/>
  <c r="J59" i="27"/>
  <c r="K59" i="27"/>
  <c r="L59" i="27"/>
  <c r="I60" i="27"/>
  <c r="J60" i="27"/>
  <c r="K60" i="27"/>
  <c r="L60" i="27"/>
  <c r="I61" i="27"/>
  <c r="J61" i="27"/>
  <c r="K61" i="27"/>
  <c r="L61" i="27"/>
  <c r="I62" i="27"/>
  <c r="J62" i="27"/>
  <c r="K62" i="27"/>
  <c r="L62" i="27"/>
  <c r="H63" i="27"/>
  <c r="I63" i="27"/>
  <c r="J63" i="27"/>
  <c r="K63" i="27"/>
  <c r="L63" i="27"/>
  <c r="I64" i="27"/>
  <c r="J64" i="27"/>
  <c r="K64" i="27"/>
  <c r="L64" i="27"/>
  <c r="I65" i="27"/>
  <c r="J65" i="27"/>
  <c r="K65" i="27"/>
  <c r="L65" i="27"/>
  <c r="I66" i="27"/>
  <c r="J66" i="27"/>
  <c r="K66" i="27"/>
  <c r="L66" i="27"/>
  <c r="H67" i="27"/>
  <c r="I67" i="27"/>
  <c r="J67" i="27"/>
  <c r="K67" i="27"/>
  <c r="L67" i="27"/>
  <c r="I68" i="27"/>
  <c r="J68" i="27"/>
  <c r="K68" i="27"/>
  <c r="L68" i="27"/>
  <c r="I69" i="27"/>
  <c r="J69" i="27"/>
  <c r="K69" i="27"/>
  <c r="L69" i="27"/>
  <c r="I70" i="27"/>
  <c r="J70" i="27"/>
  <c r="K70" i="27"/>
  <c r="L70" i="27"/>
  <c r="I71" i="27"/>
  <c r="J71" i="27"/>
  <c r="K71" i="27"/>
  <c r="L71" i="27"/>
  <c r="I72" i="27"/>
  <c r="J72" i="27"/>
  <c r="K72" i="27"/>
  <c r="L72" i="27"/>
  <c r="I73" i="27"/>
  <c r="J73" i="27"/>
  <c r="K73" i="27"/>
  <c r="L73" i="27"/>
  <c r="I74" i="27"/>
  <c r="J74" i="27"/>
  <c r="K74" i="27"/>
  <c r="L74" i="27"/>
  <c r="H75" i="27"/>
  <c r="I75" i="27"/>
  <c r="J75" i="27"/>
  <c r="K75" i="27"/>
  <c r="L75" i="27"/>
  <c r="I76" i="27"/>
  <c r="J76" i="27"/>
  <c r="K76" i="27"/>
  <c r="L76" i="27"/>
  <c r="I78" i="27"/>
  <c r="J78" i="27"/>
  <c r="K78" i="27"/>
  <c r="L78" i="27"/>
  <c r="I79" i="27"/>
  <c r="J79" i="27"/>
  <c r="K79" i="27"/>
  <c r="L79" i="27"/>
  <c r="H80" i="27"/>
  <c r="I80" i="27"/>
  <c r="J80" i="27"/>
  <c r="K80" i="27"/>
  <c r="L80" i="27"/>
  <c r="I81" i="27"/>
  <c r="J81" i="27"/>
  <c r="K81" i="27"/>
  <c r="L81" i="27"/>
  <c r="I82" i="27"/>
  <c r="J82" i="27"/>
  <c r="K82" i="27"/>
  <c r="L82" i="27"/>
  <c r="I83" i="27"/>
  <c r="J83" i="27"/>
  <c r="K83" i="27"/>
  <c r="L83" i="27"/>
  <c r="H84" i="27"/>
  <c r="I84" i="27"/>
  <c r="J84" i="27"/>
  <c r="K84" i="27"/>
  <c r="L84" i="27"/>
  <c r="I85" i="27"/>
  <c r="J85" i="27"/>
  <c r="K85" i="27"/>
  <c r="L85" i="27"/>
  <c r="I86" i="27"/>
  <c r="J86" i="27"/>
  <c r="K86" i="27"/>
  <c r="L86" i="27"/>
  <c r="I87" i="27"/>
  <c r="J87" i="27"/>
  <c r="K87" i="27"/>
  <c r="L87" i="27"/>
  <c r="H88" i="27"/>
  <c r="I88" i="27"/>
  <c r="J88" i="27"/>
  <c r="K88" i="27"/>
  <c r="L88" i="27"/>
  <c r="I89" i="27"/>
  <c r="J89" i="27"/>
  <c r="K89" i="27"/>
  <c r="L89" i="27"/>
  <c r="I90" i="27"/>
  <c r="J90" i="27"/>
  <c r="K90" i="27"/>
  <c r="L90" i="27"/>
  <c r="I91" i="27"/>
  <c r="J91" i="27"/>
  <c r="K91" i="27"/>
  <c r="L91" i="27"/>
  <c r="H92" i="27"/>
  <c r="I92" i="27"/>
  <c r="J92" i="27"/>
  <c r="K92" i="27"/>
  <c r="L92" i="27"/>
  <c r="I93" i="27"/>
  <c r="J93" i="27"/>
  <c r="K93" i="27"/>
  <c r="L93" i="27"/>
  <c r="I94" i="27"/>
  <c r="J94" i="27"/>
  <c r="K94" i="27"/>
  <c r="L94" i="27"/>
  <c r="I95" i="27"/>
  <c r="J95" i="27"/>
  <c r="K95" i="27"/>
  <c r="L95" i="27"/>
  <c r="H96" i="27"/>
  <c r="I96" i="27"/>
  <c r="J96" i="27"/>
  <c r="K96" i="27"/>
  <c r="L96" i="27"/>
  <c r="I97" i="27"/>
  <c r="J97" i="27"/>
  <c r="K97" i="27"/>
  <c r="L97" i="27"/>
  <c r="I98" i="27"/>
  <c r="J98" i="27"/>
  <c r="K98" i="27"/>
  <c r="L98" i="27"/>
  <c r="I99" i="27"/>
  <c r="J99" i="27"/>
  <c r="K99" i="27"/>
  <c r="L99" i="27"/>
  <c r="H100" i="27"/>
  <c r="I100" i="27"/>
  <c r="J100" i="27"/>
  <c r="K100" i="27"/>
  <c r="L100" i="27"/>
  <c r="I101" i="27"/>
  <c r="J101" i="27"/>
  <c r="K101" i="27"/>
  <c r="L101" i="27"/>
  <c r="I103" i="27"/>
  <c r="J103" i="27"/>
  <c r="K103" i="27"/>
  <c r="L103" i="27"/>
  <c r="I104" i="27"/>
  <c r="J104" i="27"/>
  <c r="K104" i="27"/>
  <c r="L104" i="27"/>
  <c r="H105" i="27"/>
  <c r="I105" i="27"/>
  <c r="J105" i="27"/>
  <c r="K105" i="27"/>
  <c r="L105" i="27"/>
  <c r="I106" i="27"/>
  <c r="J106" i="27"/>
  <c r="K106" i="27"/>
  <c r="L106" i="27"/>
  <c r="I107" i="27"/>
  <c r="J107" i="27"/>
  <c r="K107" i="27"/>
  <c r="L107" i="27"/>
  <c r="I108" i="27"/>
  <c r="J108" i="27"/>
  <c r="K108" i="27"/>
  <c r="L108" i="27"/>
  <c r="H109" i="27"/>
  <c r="I109" i="27"/>
  <c r="J109" i="27"/>
  <c r="K109" i="27"/>
  <c r="L109" i="27"/>
  <c r="I110" i="27"/>
  <c r="J110" i="27"/>
  <c r="K110" i="27"/>
  <c r="L110" i="27"/>
  <c r="I111" i="27"/>
  <c r="J111" i="27"/>
  <c r="K111" i="27"/>
  <c r="L111" i="27"/>
  <c r="I112" i="27"/>
  <c r="J112" i="27"/>
  <c r="K112" i="27"/>
  <c r="L112" i="27"/>
  <c r="H113" i="27"/>
  <c r="I113" i="27"/>
  <c r="J113" i="27"/>
  <c r="K113" i="27"/>
  <c r="L113" i="27"/>
  <c r="I114" i="27"/>
  <c r="J114" i="27"/>
  <c r="K114" i="27"/>
  <c r="L114" i="27"/>
  <c r="I115" i="27"/>
  <c r="J115" i="27"/>
  <c r="K115" i="27"/>
  <c r="L115" i="27"/>
  <c r="I116" i="27"/>
  <c r="J116" i="27"/>
  <c r="K116" i="27"/>
  <c r="L116" i="27"/>
  <c r="H117" i="27"/>
  <c r="I117" i="27"/>
  <c r="J117" i="27"/>
  <c r="K117" i="27"/>
  <c r="L117" i="27"/>
  <c r="I118" i="27"/>
  <c r="J118" i="27"/>
  <c r="K118" i="27"/>
  <c r="L118" i="27"/>
  <c r="I119" i="27"/>
  <c r="J119" i="27"/>
  <c r="K119" i="27"/>
  <c r="L119" i="27"/>
  <c r="I120" i="27"/>
  <c r="J120" i="27"/>
  <c r="K120" i="27"/>
  <c r="L120" i="27"/>
  <c r="H121" i="27"/>
  <c r="I121" i="27"/>
  <c r="J121" i="27"/>
  <c r="K121" i="27"/>
  <c r="L121" i="27"/>
  <c r="I122" i="27"/>
  <c r="J122" i="27"/>
  <c r="K122" i="27"/>
  <c r="L122" i="27"/>
  <c r="I123" i="27"/>
  <c r="J123" i="27"/>
  <c r="K123" i="27"/>
  <c r="L123" i="27"/>
  <c r="I124" i="27"/>
  <c r="J124" i="27"/>
  <c r="K124" i="27"/>
  <c r="L124" i="27"/>
  <c r="H125" i="27"/>
  <c r="I125" i="27"/>
  <c r="J125" i="27"/>
  <c r="K125" i="27"/>
  <c r="L125" i="27"/>
  <c r="I126" i="27"/>
  <c r="J126" i="27"/>
  <c r="K126" i="27"/>
  <c r="L126" i="27"/>
  <c r="I128" i="27"/>
  <c r="J128" i="27"/>
  <c r="K128" i="27"/>
  <c r="L128" i="27"/>
  <c r="I129" i="27"/>
  <c r="J129" i="27"/>
  <c r="K129" i="27"/>
  <c r="L129" i="27"/>
  <c r="H130" i="27"/>
  <c r="I130" i="27"/>
  <c r="J130" i="27"/>
  <c r="K130" i="27"/>
  <c r="L130" i="27"/>
  <c r="I131" i="27"/>
  <c r="J131" i="27"/>
  <c r="K131" i="27"/>
  <c r="L131" i="27"/>
  <c r="I132" i="27"/>
  <c r="J132" i="27"/>
  <c r="K132" i="27"/>
  <c r="L132" i="27"/>
  <c r="I133" i="27"/>
  <c r="J133" i="27"/>
  <c r="K133" i="27"/>
  <c r="L133" i="27"/>
  <c r="H134" i="27"/>
  <c r="I134" i="27"/>
  <c r="J134" i="27"/>
  <c r="K134" i="27"/>
  <c r="L134" i="27"/>
  <c r="I135" i="27"/>
  <c r="J135" i="27"/>
  <c r="K135" i="27"/>
  <c r="L135" i="27"/>
  <c r="I136" i="27"/>
  <c r="J136" i="27"/>
  <c r="K136" i="27"/>
  <c r="L136" i="27"/>
  <c r="I137" i="27"/>
  <c r="J137" i="27"/>
  <c r="K137" i="27"/>
  <c r="L137" i="27"/>
  <c r="H138" i="27"/>
  <c r="I138" i="27"/>
  <c r="J138" i="27"/>
  <c r="K138" i="27"/>
  <c r="L138" i="27"/>
  <c r="I139" i="27"/>
  <c r="J139" i="27"/>
  <c r="K139" i="27"/>
  <c r="L139" i="27"/>
  <c r="I140" i="27"/>
  <c r="J140" i="27"/>
  <c r="K140" i="27"/>
  <c r="L140" i="27"/>
  <c r="I141" i="27"/>
  <c r="J141" i="27"/>
  <c r="K141" i="27"/>
  <c r="L141" i="27"/>
  <c r="H142" i="27"/>
  <c r="I142" i="27"/>
  <c r="J142" i="27"/>
  <c r="K142" i="27"/>
  <c r="L142" i="27"/>
  <c r="I143" i="27"/>
  <c r="J143" i="27"/>
  <c r="K143" i="27"/>
  <c r="L143" i="27"/>
  <c r="I144" i="27"/>
  <c r="J144" i="27"/>
  <c r="K144" i="27"/>
  <c r="L144" i="27"/>
  <c r="I145" i="27"/>
  <c r="J145" i="27"/>
  <c r="K145" i="27"/>
  <c r="L145" i="27"/>
  <c r="H146" i="27"/>
  <c r="I146" i="27"/>
  <c r="J146" i="27"/>
  <c r="K146" i="27"/>
  <c r="L146" i="27"/>
  <c r="I147" i="27"/>
  <c r="J147" i="27"/>
  <c r="K147" i="27"/>
  <c r="L147" i="27"/>
  <c r="I148" i="27"/>
  <c r="J148" i="27"/>
  <c r="K148" i="27"/>
  <c r="L148" i="27"/>
  <c r="I149" i="27"/>
  <c r="J149" i="27"/>
  <c r="K149" i="27"/>
  <c r="L149" i="27"/>
  <c r="H150" i="27"/>
  <c r="I150" i="27"/>
  <c r="J150" i="27"/>
  <c r="K150" i="27"/>
  <c r="L150" i="27"/>
  <c r="I151" i="27"/>
  <c r="J151" i="27"/>
  <c r="K151" i="27"/>
  <c r="L151" i="27"/>
  <c r="I153" i="27"/>
  <c r="J153" i="27"/>
  <c r="K153" i="27"/>
  <c r="L153" i="27"/>
  <c r="I154" i="27"/>
  <c r="J154" i="27"/>
  <c r="K154" i="27"/>
  <c r="L154" i="27"/>
  <c r="H155" i="27"/>
  <c r="I155" i="27"/>
  <c r="J155" i="27"/>
  <c r="K155" i="27"/>
  <c r="L155" i="27"/>
  <c r="I156" i="27"/>
  <c r="J156" i="27"/>
  <c r="K156" i="27"/>
  <c r="L156" i="27"/>
  <c r="I157" i="27"/>
  <c r="J157" i="27"/>
  <c r="K157" i="27"/>
  <c r="L157" i="27"/>
  <c r="I158" i="27"/>
  <c r="J158" i="27"/>
  <c r="K158" i="27"/>
  <c r="L158" i="27"/>
  <c r="H159" i="27"/>
  <c r="I159" i="27"/>
  <c r="J159" i="27"/>
  <c r="K159" i="27"/>
  <c r="L159" i="27"/>
  <c r="I160" i="27"/>
  <c r="J160" i="27"/>
  <c r="K160" i="27"/>
  <c r="L160" i="27"/>
  <c r="I161" i="27"/>
  <c r="J161" i="27"/>
  <c r="K161" i="27"/>
  <c r="L161" i="27"/>
  <c r="I162" i="27"/>
  <c r="J162" i="27"/>
  <c r="K162" i="27"/>
  <c r="L162" i="27"/>
  <c r="H163" i="27"/>
  <c r="I163" i="27"/>
  <c r="J163" i="27"/>
  <c r="K163" i="27"/>
  <c r="L163" i="27"/>
  <c r="I164" i="27"/>
  <c r="J164" i="27"/>
  <c r="K164" i="27"/>
  <c r="L164" i="27"/>
  <c r="I165" i="27"/>
  <c r="J165" i="27"/>
  <c r="K165" i="27"/>
  <c r="L165" i="27"/>
  <c r="I166" i="27"/>
  <c r="J166" i="27"/>
  <c r="K166" i="27"/>
  <c r="L166" i="27"/>
  <c r="H167" i="27"/>
  <c r="I167" i="27"/>
  <c r="J167" i="27"/>
  <c r="K167" i="27"/>
  <c r="L167" i="27"/>
  <c r="I168" i="27"/>
  <c r="J168" i="27"/>
  <c r="K168" i="27"/>
  <c r="L168" i="27"/>
  <c r="I169" i="27"/>
  <c r="J169" i="27"/>
  <c r="K169" i="27"/>
  <c r="L169" i="27"/>
  <c r="I170" i="27"/>
  <c r="J170" i="27"/>
  <c r="K170" i="27"/>
  <c r="L170" i="27"/>
  <c r="H171" i="27"/>
  <c r="I171" i="27"/>
  <c r="J171" i="27"/>
  <c r="K171" i="27"/>
  <c r="L171" i="27"/>
  <c r="I172" i="27"/>
  <c r="J172" i="27"/>
  <c r="K172" i="27"/>
  <c r="L172" i="27"/>
  <c r="I173" i="27"/>
  <c r="J173" i="27"/>
  <c r="K173" i="27"/>
  <c r="L173" i="27"/>
  <c r="I174" i="27"/>
  <c r="J174" i="27"/>
  <c r="K174" i="27"/>
  <c r="L174" i="27"/>
  <c r="H175" i="27"/>
  <c r="I175" i="27"/>
  <c r="J175" i="27"/>
  <c r="K175" i="27"/>
  <c r="L175" i="27"/>
  <c r="I176" i="27"/>
  <c r="J176" i="27"/>
  <c r="K176" i="27"/>
  <c r="L176" i="27"/>
  <c r="I178" i="27"/>
  <c r="J178" i="27"/>
  <c r="K178" i="27"/>
  <c r="L178" i="27"/>
  <c r="I179" i="27"/>
  <c r="J179" i="27"/>
  <c r="K179" i="27"/>
  <c r="L179" i="27"/>
  <c r="H180" i="27"/>
  <c r="I180" i="27"/>
  <c r="J180" i="27"/>
  <c r="K180" i="27"/>
  <c r="L180" i="27"/>
  <c r="I181" i="27"/>
  <c r="J181" i="27"/>
  <c r="K181" i="27"/>
  <c r="L181" i="27"/>
  <c r="I182" i="27"/>
  <c r="J182" i="27"/>
  <c r="K182" i="27"/>
  <c r="L182" i="27"/>
  <c r="I183" i="27"/>
  <c r="J183" i="27"/>
  <c r="K183" i="27"/>
  <c r="L183" i="27"/>
  <c r="H184" i="27"/>
  <c r="I184" i="27"/>
  <c r="J184" i="27"/>
  <c r="K184" i="27"/>
  <c r="L184" i="27"/>
  <c r="I185" i="27"/>
  <c r="J185" i="27"/>
  <c r="K185" i="27"/>
  <c r="L185" i="27"/>
  <c r="I186" i="27"/>
  <c r="J186" i="27"/>
  <c r="K186" i="27"/>
  <c r="L186" i="27"/>
  <c r="I187" i="27"/>
  <c r="J187" i="27"/>
  <c r="K187" i="27"/>
  <c r="L187" i="27"/>
  <c r="H188" i="27"/>
  <c r="I188" i="27"/>
  <c r="J188" i="27"/>
  <c r="K188" i="27"/>
  <c r="L188" i="27"/>
  <c r="I189" i="27"/>
  <c r="J189" i="27"/>
  <c r="K189" i="27"/>
  <c r="L189" i="27"/>
  <c r="I190" i="27"/>
  <c r="J190" i="27"/>
  <c r="K190" i="27"/>
  <c r="L190" i="27"/>
  <c r="I191" i="27"/>
  <c r="J191" i="27"/>
  <c r="K191" i="27"/>
  <c r="L191" i="27"/>
  <c r="H192" i="27"/>
  <c r="I192" i="27"/>
  <c r="J192" i="27"/>
  <c r="K192" i="27"/>
  <c r="L192" i="27"/>
  <c r="I193" i="27"/>
  <c r="J193" i="27"/>
  <c r="K193" i="27"/>
  <c r="L193" i="27"/>
  <c r="I220" i="27"/>
  <c r="J220" i="27"/>
  <c r="K220" i="27"/>
  <c r="L220" i="27"/>
  <c r="I221" i="27"/>
  <c r="J221" i="27"/>
  <c r="K221" i="27"/>
  <c r="L221" i="27"/>
  <c r="I222" i="27"/>
  <c r="J222" i="27"/>
  <c r="K222" i="27"/>
  <c r="L222" i="27"/>
  <c r="I223" i="27"/>
  <c r="J223" i="27"/>
  <c r="K223" i="27"/>
  <c r="L223" i="27"/>
  <c r="I224" i="27"/>
  <c r="J224" i="27"/>
  <c r="K224" i="27"/>
  <c r="L224" i="27"/>
  <c r="I225" i="27"/>
  <c r="J225" i="27"/>
  <c r="K225" i="27"/>
  <c r="L225" i="27"/>
  <c r="I226" i="27"/>
  <c r="J226" i="27"/>
  <c r="K226" i="27"/>
  <c r="L226" i="27"/>
  <c r="I227" i="27"/>
  <c r="J227" i="27"/>
  <c r="K227" i="27"/>
  <c r="L227" i="27"/>
  <c r="I228" i="27"/>
  <c r="J228" i="27"/>
  <c r="K228" i="27"/>
  <c r="L228" i="27"/>
  <c r="I229" i="27"/>
  <c r="J229" i="27"/>
  <c r="K229" i="27"/>
  <c r="L229" i="27"/>
  <c r="H230" i="27"/>
  <c r="I230" i="27"/>
  <c r="J230" i="27"/>
  <c r="K230" i="27"/>
  <c r="L230" i="27"/>
  <c r="I231" i="27"/>
  <c r="J231" i="27"/>
  <c r="K231" i="27"/>
  <c r="L231" i="27"/>
  <c r="I232" i="27"/>
  <c r="J232" i="27"/>
  <c r="K232" i="27"/>
  <c r="L232" i="27"/>
  <c r="I233" i="27"/>
  <c r="J233" i="27"/>
  <c r="K233" i="27"/>
  <c r="L233" i="27"/>
  <c r="H234" i="27"/>
  <c r="I234" i="27"/>
  <c r="J234" i="27"/>
  <c r="K234" i="27"/>
  <c r="L234" i="27"/>
  <c r="I235" i="27"/>
  <c r="J235" i="27"/>
  <c r="K235" i="27"/>
  <c r="L235" i="27"/>
  <c r="I236" i="27"/>
  <c r="J236" i="27"/>
  <c r="K236" i="27"/>
  <c r="L236" i="27"/>
  <c r="I237" i="27"/>
  <c r="J237" i="27"/>
  <c r="K237" i="27"/>
  <c r="L237" i="27"/>
  <c r="I238" i="27"/>
  <c r="J238" i="27"/>
  <c r="K238" i="27"/>
  <c r="L238" i="27"/>
  <c r="I239" i="27"/>
  <c r="J239" i="27"/>
  <c r="K239" i="27"/>
  <c r="L239" i="27"/>
  <c r="I240" i="27"/>
  <c r="J240" i="27"/>
  <c r="K240" i="27"/>
  <c r="L240" i="27"/>
  <c r="I241" i="27"/>
  <c r="J241" i="27"/>
  <c r="K241" i="27"/>
  <c r="L241" i="27"/>
  <c r="H242" i="27"/>
  <c r="I242" i="27"/>
  <c r="J242" i="27"/>
  <c r="K242" i="27"/>
  <c r="L242" i="27"/>
  <c r="I243" i="27"/>
  <c r="J243" i="27"/>
  <c r="K243" i="27"/>
  <c r="L243" i="27"/>
  <c r="I245" i="27"/>
  <c r="J245" i="27"/>
  <c r="K245" i="27"/>
  <c r="L245" i="27"/>
  <c r="I246" i="27"/>
  <c r="J246" i="27"/>
  <c r="K246" i="27"/>
  <c r="L246" i="27"/>
  <c r="H247" i="27"/>
  <c r="I247" i="27"/>
  <c r="J247" i="27"/>
  <c r="K247" i="27"/>
  <c r="L247" i="27"/>
  <c r="I248" i="27"/>
  <c r="J248" i="27"/>
  <c r="K248" i="27"/>
  <c r="L248" i="27"/>
  <c r="I249" i="27"/>
  <c r="J249" i="27"/>
  <c r="K249" i="27"/>
  <c r="L249" i="27"/>
  <c r="I250" i="27"/>
  <c r="J250" i="27"/>
  <c r="K250" i="27"/>
  <c r="L250" i="27"/>
  <c r="H251" i="27"/>
  <c r="I251" i="27"/>
  <c r="J251" i="27"/>
  <c r="K251" i="27"/>
  <c r="L251" i="27"/>
  <c r="I252" i="27"/>
  <c r="J252" i="27"/>
  <c r="K252" i="27"/>
  <c r="L252" i="27"/>
  <c r="I253" i="27"/>
  <c r="J253" i="27"/>
  <c r="K253" i="27"/>
  <c r="L253" i="27"/>
  <c r="I254" i="27"/>
  <c r="J254" i="27"/>
  <c r="K254" i="27"/>
  <c r="L254" i="27"/>
  <c r="H255" i="27"/>
  <c r="I255" i="27"/>
  <c r="J255" i="27"/>
  <c r="K255" i="27"/>
  <c r="L255" i="27"/>
  <c r="I256" i="27"/>
  <c r="J256" i="27"/>
  <c r="K256" i="27"/>
  <c r="L256" i="27"/>
  <c r="I257" i="27"/>
  <c r="J257" i="27"/>
  <c r="K257" i="27"/>
  <c r="L257" i="27"/>
  <c r="I258" i="27"/>
  <c r="J258" i="27"/>
  <c r="K258" i="27"/>
  <c r="L258" i="27"/>
  <c r="H259" i="27"/>
  <c r="I259" i="27"/>
  <c r="J259" i="27"/>
  <c r="K259" i="27"/>
  <c r="L259" i="27"/>
  <c r="I260" i="27"/>
  <c r="J260" i="27"/>
  <c r="K260" i="27"/>
  <c r="L260" i="27"/>
  <c r="I261" i="27"/>
  <c r="J261" i="27"/>
  <c r="K261" i="27"/>
  <c r="L261" i="27"/>
  <c r="I262" i="27"/>
  <c r="J262" i="27"/>
  <c r="K262" i="27"/>
  <c r="L262" i="27"/>
  <c r="H263" i="27"/>
  <c r="I263" i="27"/>
  <c r="J263" i="27"/>
  <c r="K263" i="27"/>
  <c r="L263" i="27"/>
  <c r="I264" i="27"/>
  <c r="J264" i="27"/>
  <c r="K264" i="27"/>
  <c r="L264" i="27"/>
  <c r="I265" i="27"/>
  <c r="J265" i="27"/>
  <c r="K265" i="27"/>
  <c r="L265" i="27"/>
  <c r="I266" i="27"/>
  <c r="J266" i="27"/>
  <c r="K266" i="27"/>
  <c r="L266" i="27"/>
  <c r="H267" i="27"/>
  <c r="I267" i="27"/>
  <c r="J267" i="27"/>
  <c r="K267" i="27"/>
  <c r="L267" i="27"/>
  <c r="I268" i="27"/>
  <c r="J268" i="27"/>
  <c r="K268" i="27"/>
  <c r="L268" i="27"/>
  <c r="I270" i="27"/>
  <c r="J270" i="27"/>
  <c r="K270" i="27"/>
  <c r="L270" i="27"/>
  <c r="I271" i="27"/>
  <c r="J271" i="27"/>
  <c r="K271" i="27"/>
  <c r="L271" i="27"/>
  <c r="H272" i="27"/>
  <c r="I272" i="27"/>
  <c r="J272" i="27"/>
  <c r="K272" i="27"/>
  <c r="L272" i="27"/>
  <c r="I273" i="27"/>
  <c r="J273" i="27"/>
  <c r="K273" i="27"/>
  <c r="L273" i="27"/>
  <c r="I274" i="27"/>
  <c r="J274" i="27"/>
  <c r="K274" i="27"/>
  <c r="L274" i="27"/>
  <c r="I275" i="27"/>
  <c r="J275" i="27"/>
  <c r="K275" i="27"/>
  <c r="L275" i="27"/>
  <c r="H276" i="27"/>
  <c r="I276" i="27"/>
  <c r="J276" i="27"/>
  <c r="K276" i="27"/>
  <c r="L276" i="27"/>
  <c r="I277" i="27"/>
  <c r="J277" i="27"/>
  <c r="K277" i="27"/>
  <c r="L277" i="27"/>
  <c r="I278" i="27"/>
  <c r="J278" i="27"/>
  <c r="K278" i="27"/>
  <c r="L278" i="27"/>
  <c r="I279" i="27"/>
  <c r="J279" i="27"/>
  <c r="K279" i="27"/>
  <c r="L279" i="27"/>
  <c r="H280" i="27"/>
  <c r="I280" i="27"/>
  <c r="J280" i="27"/>
  <c r="K280" i="27"/>
  <c r="L280" i="27"/>
  <c r="I281" i="27"/>
  <c r="J281" i="27"/>
  <c r="K281" i="27"/>
  <c r="L281" i="27"/>
  <c r="I282" i="27"/>
  <c r="J282" i="27"/>
  <c r="K282" i="27"/>
  <c r="L282" i="27"/>
  <c r="I283" i="27"/>
  <c r="J283" i="27"/>
  <c r="K283" i="27"/>
  <c r="L283" i="27"/>
  <c r="H284" i="27"/>
  <c r="I284" i="27"/>
  <c r="J284" i="27"/>
  <c r="K284" i="27"/>
  <c r="L284" i="27"/>
  <c r="I285" i="27"/>
  <c r="J285" i="27"/>
  <c r="K285" i="27"/>
  <c r="L285" i="27"/>
  <c r="I286" i="27"/>
  <c r="J286" i="27"/>
  <c r="K286" i="27"/>
  <c r="L286" i="27"/>
  <c r="I287" i="27"/>
  <c r="J287" i="27"/>
  <c r="K287" i="27"/>
  <c r="L287" i="27"/>
  <c r="H288" i="27"/>
  <c r="I288" i="27"/>
  <c r="J288" i="27"/>
  <c r="K288" i="27"/>
  <c r="L288" i="27"/>
  <c r="I289" i="27"/>
  <c r="J289" i="27"/>
  <c r="K289" i="27"/>
  <c r="L289" i="27"/>
  <c r="I290" i="27"/>
  <c r="J290" i="27"/>
  <c r="K290" i="27"/>
  <c r="L290" i="27"/>
  <c r="I291" i="27"/>
  <c r="J291" i="27"/>
  <c r="K291" i="27"/>
  <c r="L291" i="27"/>
  <c r="H292" i="27"/>
  <c r="I292" i="27"/>
  <c r="J292" i="27"/>
  <c r="K292" i="27"/>
  <c r="L292" i="27"/>
  <c r="I293" i="27"/>
  <c r="J293" i="27"/>
  <c r="K293" i="27"/>
  <c r="L293" i="27"/>
  <c r="I295" i="27"/>
  <c r="J295" i="27"/>
  <c r="K295" i="27"/>
  <c r="L295" i="27"/>
  <c r="I296" i="27"/>
  <c r="J296" i="27"/>
  <c r="K296" i="27"/>
  <c r="L296" i="27"/>
  <c r="H297" i="27"/>
  <c r="I297" i="27"/>
  <c r="J297" i="27"/>
  <c r="K297" i="27"/>
  <c r="L297" i="27"/>
  <c r="I298" i="27"/>
  <c r="J298" i="27"/>
  <c r="K298" i="27"/>
  <c r="L298" i="27"/>
  <c r="I299" i="27"/>
  <c r="J299" i="27"/>
  <c r="K299" i="27"/>
  <c r="L299" i="27"/>
  <c r="I300" i="27"/>
  <c r="J300" i="27"/>
  <c r="K300" i="27"/>
  <c r="L300" i="27"/>
  <c r="H301" i="27"/>
  <c r="I301" i="27"/>
  <c r="J301" i="27"/>
  <c r="K301" i="27"/>
  <c r="L301" i="27"/>
  <c r="I302" i="27"/>
  <c r="J302" i="27"/>
  <c r="K302" i="27"/>
  <c r="L302" i="27"/>
  <c r="I303" i="27"/>
  <c r="J303" i="27"/>
  <c r="K303" i="27"/>
  <c r="L303" i="27"/>
  <c r="I304" i="27"/>
  <c r="J304" i="27"/>
  <c r="K304" i="27"/>
  <c r="L304" i="27"/>
  <c r="H305" i="27"/>
  <c r="I305" i="27"/>
  <c r="J305" i="27"/>
  <c r="K305" i="27"/>
  <c r="L305" i="27"/>
  <c r="I306" i="27"/>
  <c r="J306" i="27"/>
  <c r="K306" i="27"/>
  <c r="L306" i="27"/>
  <c r="I307" i="27"/>
  <c r="J307" i="27"/>
  <c r="K307" i="27"/>
  <c r="L307" i="27"/>
  <c r="I308" i="27"/>
  <c r="J308" i="27"/>
  <c r="K308" i="27"/>
  <c r="L308" i="27"/>
  <c r="H309" i="27"/>
  <c r="I309" i="27"/>
  <c r="J309" i="27"/>
  <c r="K309" i="27"/>
  <c r="L309" i="27"/>
  <c r="I310" i="27"/>
  <c r="J310" i="27"/>
  <c r="K310" i="27"/>
  <c r="L310" i="27"/>
  <c r="I311" i="27"/>
  <c r="J311" i="27"/>
  <c r="K311" i="27"/>
  <c r="L311" i="27"/>
  <c r="I312" i="27"/>
  <c r="J312" i="27"/>
  <c r="K312" i="27"/>
  <c r="L312" i="27"/>
  <c r="H313" i="27"/>
  <c r="I313" i="27"/>
  <c r="J313" i="27"/>
  <c r="K313" i="27"/>
  <c r="L313" i="27"/>
  <c r="I314" i="27"/>
  <c r="J314" i="27"/>
  <c r="K314" i="27"/>
  <c r="L314" i="27"/>
  <c r="I315" i="27"/>
  <c r="J315" i="27"/>
  <c r="K315" i="27"/>
  <c r="L315" i="27"/>
  <c r="I316" i="27"/>
  <c r="J316" i="27"/>
  <c r="K316" i="27"/>
  <c r="L316" i="27"/>
  <c r="H317" i="27"/>
  <c r="I317" i="27"/>
  <c r="J317" i="27"/>
  <c r="K317" i="27"/>
  <c r="L317" i="27"/>
  <c r="I318" i="27"/>
  <c r="J318" i="27"/>
  <c r="K318" i="27"/>
  <c r="L318" i="27"/>
  <c r="I320" i="27"/>
  <c r="J320" i="27"/>
  <c r="K320" i="27"/>
  <c r="L320" i="27"/>
  <c r="I321" i="27"/>
  <c r="J321" i="27"/>
  <c r="K321" i="27"/>
  <c r="L321" i="27"/>
  <c r="H322" i="27"/>
  <c r="I322" i="27"/>
  <c r="J322" i="27"/>
  <c r="K322" i="27"/>
  <c r="L322" i="27"/>
  <c r="I323" i="27"/>
  <c r="J323" i="27"/>
  <c r="K323" i="27"/>
  <c r="L323" i="27"/>
  <c r="I324" i="27"/>
  <c r="J324" i="27"/>
  <c r="K324" i="27"/>
  <c r="L324" i="27"/>
  <c r="I325" i="27"/>
  <c r="J325" i="27"/>
  <c r="K325" i="27"/>
  <c r="L325" i="27"/>
  <c r="H326" i="27"/>
  <c r="I326" i="27"/>
  <c r="J326" i="27"/>
  <c r="K326" i="27"/>
  <c r="L326" i="27"/>
  <c r="I327" i="27"/>
  <c r="J327" i="27"/>
  <c r="K327" i="27"/>
  <c r="L327" i="27"/>
  <c r="I328" i="27"/>
  <c r="J328" i="27"/>
  <c r="K328" i="27"/>
  <c r="L328" i="27"/>
  <c r="I329" i="27"/>
  <c r="J329" i="27"/>
  <c r="K329" i="27"/>
  <c r="L329" i="27"/>
  <c r="H330" i="27"/>
  <c r="I330" i="27"/>
  <c r="J330" i="27"/>
  <c r="K330" i="27"/>
  <c r="L330" i="27"/>
  <c r="I331" i="27"/>
  <c r="J331" i="27"/>
  <c r="K331" i="27"/>
  <c r="L331" i="27"/>
  <c r="I332" i="27"/>
  <c r="J332" i="27"/>
  <c r="K332" i="27"/>
  <c r="L332" i="27"/>
  <c r="I333" i="27"/>
  <c r="J333" i="27"/>
  <c r="K333" i="27"/>
  <c r="L333" i="27"/>
  <c r="H334" i="27"/>
  <c r="I334" i="27"/>
  <c r="J334" i="27"/>
  <c r="K334" i="27"/>
  <c r="L334" i="27"/>
  <c r="I335" i="27"/>
  <c r="J335" i="27"/>
  <c r="K335" i="27"/>
  <c r="L335" i="27"/>
  <c r="I336" i="27"/>
  <c r="J336" i="27"/>
  <c r="K336" i="27"/>
  <c r="L336" i="27"/>
  <c r="I337" i="27"/>
  <c r="J337" i="27"/>
  <c r="K337" i="27"/>
  <c r="L337" i="27"/>
  <c r="H338" i="27"/>
  <c r="I338" i="27"/>
  <c r="J338" i="27"/>
  <c r="K338" i="27"/>
  <c r="L338" i="27"/>
  <c r="I339" i="27"/>
  <c r="J339" i="27"/>
  <c r="K339" i="27"/>
  <c r="L339" i="27"/>
  <c r="I340" i="27"/>
  <c r="J340" i="27"/>
  <c r="K340" i="27"/>
  <c r="L340" i="27"/>
  <c r="I341" i="27"/>
  <c r="J341" i="27"/>
  <c r="K341" i="27"/>
  <c r="L341" i="27"/>
  <c r="H342" i="27"/>
  <c r="I342" i="27"/>
  <c r="J342" i="27"/>
  <c r="K342" i="27"/>
  <c r="L342" i="27"/>
  <c r="I343" i="27"/>
  <c r="J343" i="27"/>
  <c r="K343" i="27"/>
  <c r="L343" i="27"/>
  <c r="I345" i="27"/>
  <c r="J345" i="27"/>
  <c r="K345" i="27"/>
  <c r="L345" i="27"/>
  <c r="I346" i="27"/>
  <c r="J346" i="27"/>
  <c r="K346" i="27"/>
  <c r="L346" i="27"/>
  <c r="H347" i="27"/>
  <c r="I347" i="27"/>
  <c r="J347" i="27"/>
  <c r="K347" i="27"/>
  <c r="L347" i="27"/>
  <c r="I348" i="27"/>
  <c r="J348" i="27"/>
  <c r="K348" i="27"/>
  <c r="L348" i="27"/>
  <c r="I349" i="27"/>
  <c r="J349" i="27"/>
  <c r="K349" i="27"/>
  <c r="L349" i="27"/>
  <c r="I350" i="27"/>
  <c r="J350" i="27"/>
  <c r="K350" i="27"/>
  <c r="L350" i="27"/>
  <c r="H351" i="27"/>
  <c r="I351" i="27"/>
  <c r="J351" i="27"/>
  <c r="K351" i="27"/>
  <c r="L351" i="27"/>
  <c r="I352" i="27"/>
  <c r="J352" i="27"/>
  <c r="K352" i="27"/>
  <c r="L352" i="27"/>
  <c r="I353" i="27"/>
  <c r="J353" i="27"/>
  <c r="K353" i="27"/>
  <c r="L353" i="27"/>
  <c r="I354" i="27"/>
  <c r="J354" i="27"/>
  <c r="K354" i="27"/>
  <c r="L354" i="27"/>
  <c r="H355" i="27"/>
  <c r="I355" i="27"/>
  <c r="J355" i="27"/>
  <c r="K355" i="27"/>
  <c r="L355" i="27"/>
  <c r="I356" i="27"/>
  <c r="J356" i="27"/>
  <c r="K356" i="27"/>
  <c r="L356" i="27"/>
  <c r="I357" i="27"/>
  <c r="J357" i="27"/>
  <c r="K357" i="27"/>
  <c r="L357" i="27"/>
  <c r="I358" i="27"/>
  <c r="J358" i="27"/>
  <c r="K358" i="27"/>
  <c r="L358" i="27"/>
  <c r="H359" i="27"/>
  <c r="I359" i="27"/>
  <c r="J359" i="27"/>
  <c r="K359" i="27"/>
  <c r="L359" i="27"/>
  <c r="I360" i="27"/>
  <c r="J360" i="27"/>
  <c r="K360" i="27"/>
  <c r="L360" i="27"/>
  <c r="A45" i="16"/>
  <c r="B45" i="16"/>
  <c r="C45" i="16"/>
  <c r="F45" i="16"/>
  <c r="G45" i="16"/>
  <c r="I45" i="16"/>
  <c r="J45" i="16"/>
  <c r="N45" i="16"/>
  <c r="O45" i="16"/>
  <c r="P45" i="16"/>
  <c r="Q45" i="16"/>
  <c r="R45" i="16"/>
  <c r="U45" i="16"/>
  <c r="V45" i="16"/>
  <c r="W45" i="16"/>
  <c r="X45" i="16"/>
  <c r="A46" i="16"/>
  <c r="B46" i="16"/>
  <c r="C46" i="16"/>
  <c r="F46" i="16"/>
  <c r="G46" i="16"/>
  <c r="I46" i="16"/>
  <c r="J46" i="16"/>
  <c r="N46" i="16"/>
  <c r="O46" i="16"/>
  <c r="P46" i="16"/>
  <c r="Q46" i="16"/>
  <c r="R46" i="16"/>
  <c r="U46" i="16"/>
  <c r="V46" i="16"/>
  <c r="W46" i="16"/>
  <c r="X46" i="16"/>
  <c r="A47" i="16"/>
  <c r="B47" i="16"/>
  <c r="C47" i="16"/>
  <c r="F47" i="16"/>
  <c r="G47" i="16"/>
  <c r="I47" i="16"/>
  <c r="J47" i="16"/>
  <c r="N47" i="16"/>
  <c r="O47" i="16"/>
  <c r="P47" i="16"/>
  <c r="Q47" i="16"/>
  <c r="R47" i="16"/>
  <c r="S47" i="16"/>
  <c r="T47" i="16"/>
  <c r="U47" i="16"/>
  <c r="V47" i="16"/>
  <c r="W47" i="16"/>
  <c r="X47" i="16"/>
  <c r="A48" i="16"/>
  <c r="B48" i="16"/>
  <c r="C48" i="16"/>
  <c r="F48" i="16"/>
  <c r="G48" i="16"/>
  <c r="I48" i="16"/>
  <c r="J48" i="16"/>
  <c r="N48" i="16"/>
  <c r="O48" i="16"/>
  <c r="P48" i="16"/>
  <c r="Q48" i="16"/>
  <c r="R48" i="16"/>
  <c r="S48" i="16"/>
  <c r="T48" i="16"/>
  <c r="U48" i="16"/>
  <c r="V48" i="16"/>
  <c r="W48" i="16"/>
  <c r="X48" i="16"/>
  <c r="A49" i="16"/>
  <c r="B49" i="16"/>
  <c r="C49" i="16"/>
  <c r="F49" i="16"/>
  <c r="G49" i="16"/>
  <c r="I49" i="16"/>
  <c r="J49" i="16"/>
  <c r="N49" i="16"/>
  <c r="O49" i="16"/>
  <c r="P49" i="16"/>
  <c r="Q49" i="16"/>
  <c r="R49" i="16"/>
  <c r="S49" i="16"/>
  <c r="T49" i="16"/>
  <c r="U49" i="16"/>
  <c r="V49" i="16"/>
  <c r="W49" i="16"/>
  <c r="X49" i="16"/>
  <c r="A50" i="16"/>
  <c r="B50" i="16"/>
  <c r="C50" i="16"/>
  <c r="F50" i="16"/>
  <c r="G50" i="16"/>
  <c r="I50" i="16"/>
  <c r="J50" i="16"/>
  <c r="N50" i="16"/>
  <c r="O50" i="16"/>
  <c r="P50" i="16"/>
  <c r="Q50" i="16"/>
  <c r="R50" i="16"/>
  <c r="S50" i="16"/>
  <c r="T50" i="16"/>
  <c r="U50" i="16"/>
  <c r="V50" i="16"/>
  <c r="W50" i="16"/>
  <c r="X50" i="16"/>
  <c r="A51" i="16"/>
  <c r="B51" i="16"/>
  <c r="C51" i="16"/>
  <c r="F51" i="16"/>
  <c r="G51" i="16"/>
  <c r="I51" i="16"/>
  <c r="J51" i="16"/>
  <c r="N51" i="16"/>
  <c r="O51" i="16"/>
  <c r="P51" i="16"/>
  <c r="Q51" i="16"/>
  <c r="R51" i="16"/>
  <c r="S51" i="16"/>
  <c r="T51" i="16"/>
  <c r="U51" i="16"/>
  <c r="V51" i="16"/>
  <c r="W51" i="16"/>
  <c r="X51" i="16"/>
  <c r="A52" i="16"/>
  <c r="B52" i="16"/>
  <c r="F52" i="16"/>
  <c r="G52" i="16"/>
  <c r="I52" i="16"/>
  <c r="J52" i="16"/>
  <c r="N52" i="16"/>
  <c r="O52" i="16"/>
  <c r="P52" i="16"/>
  <c r="Q52" i="16"/>
  <c r="R52" i="16"/>
  <c r="S52" i="16"/>
  <c r="T52" i="16"/>
  <c r="U52" i="16"/>
  <c r="V52" i="16"/>
  <c r="W52" i="16"/>
  <c r="X52" i="16"/>
  <c r="A53" i="16"/>
  <c r="B53" i="16"/>
  <c r="F53" i="16"/>
  <c r="G53" i="16"/>
  <c r="I53" i="16"/>
  <c r="J53" i="16"/>
  <c r="O53" i="16"/>
  <c r="P53" i="16"/>
  <c r="Q53" i="16"/>
  <c r="R53" i="16"/>
  <c r="S53" i="16"/>
  <c r="T53" i="16"/>
  <c r="U53" i="16"/>
  <c r="V53" i="16"/>
  <c r="W53" i="16"/>
  <c r="X53" i="16"/>
  <c r="A54" i="16"/>
  <c r="B54" i="16"/>
  <c r="F54" i="16"/>
  <c r="G54" i="16"/>
  <c r="I54" i="16"/>
  <c r="J54" i="16"/>
  <c r="L54" i="16"/>
  <c r="N54" i="16"/>
  <c r="O54" i="16"/>
  <c r="P54" i="16"/>
  <c r="Q54" i="16"/>
  <c r="R54" i="16"/>
  <c r="S54" i="16"/>
  <c r="T54" i="16"/>
  <c r="U54" i="16"/>
  <c r="V54" i="16"/>
  <c r="W54" i="16"/>
  <c r="X54" i="16"/>
  <c r="A55" i="16"/>
  <c r="B55" i="16"/>
  <c r="F55" i="16"/>
  <c r="G55" i="16"/>
  <c r="I55" i="16"/>
  <c r="J55" i="16"/>
  <c r="L55" i="16"/>
  <c r="N55" i="16"/>
  <c r="O55" i="16"/>
  <c r="P55" i="16"/>
  <c r="Q55" i="16"/>
  <c r="R55" i="16"/>
  <c r="S55" i="16"/>
  <c r="T55" i="16"/>
  <c r="U55" i="16"/>
  <c r="V55" i="16"/>
  <c r="W55" i="16"/>
  <c r="X55" i="16"/>
  <c r="A56" i="16"/>
  <c r="B56" i="16"/>
  <c r="F56" i="16"/>
  <c r="G56" i="16"/>
  <c r="I56" i="16"/>
  <c r="J56" i="16"/>
  <c r="L56" i="16"/>
  <c r="N56" i="16"/>
  <c r="O56" i="16"/>
  <c r="P56" i="16"/>
  <c r="Q56" i="16"/>
  <c r="R56" i="16"/>
  <c r="S56" i="16"/>
  <c r="T56" i="16"/>
  <c r="U56" i="16"/>
  <c r="V56" i="16"/>
  <c r="W56" i="16"/>
  <c r="X56" i="16"/>
  <c r="A57" i="16"/>
  <c r="B57" i="16"/>
  <c r="D57" i="16"/>
  <c r="E57" i="16"/>
  <c r="F57" i="16"/>
  <c r="G57" i="16"/>
  <c r="H57" i="16"/>
  <c r="I57" i="16"/>
  <c r="J57" i="16"/>
  <c r="K57" i="16"/>
  <c r="L57" i="16"/>
  <c r="M57" i="16"/>
  <c r="N57" i="16"/>
  <c r="O57" i="16"/>
  <c r="P57" i="16"/>
  <c r="Q57" i="16"/>
  <c r="R57" i="16"/>
  <c r="S57" i="16"/>
  <c r="T57" i="16"/>
  <c r="U57" i="16"/>
  <c r="V57" i="16"/>
  <c r="W57" i="16"/>
  <c r="X57" i="16"/>
  <c r="A58" i="16"/>
  <c r="B58" i="16"/>
  <c r="D58" i="16"/>
  <c r="E58" i="16"/>
  <c r="F58" i="16"/>
  <c r="G58" i="16"/>
  <c r="H58" i="16"/>
  <c r="I58" i="16"/>
  <c r="J58" i="16"/>
  <c r="K58" i="16"/>
  <c r="L58" i="16"/>
  <c r="M58" i="16"/>
  <c r="N58" i="16"/>
  <c r="O58" i="16"/>
  <c r="P58" i="16"/>
  <c r="Q58" i="16"/>
  <c r="R58" i="16"/>
  <c r="S58" i="16"/>
  <c r="T58" i="16"/>
  <c r="U58" i="16"/>
  <c r="V58" i="16"/>
  <c r="W58" i="16"/>
  <c r="X58" i="16"/>
  <c r="A59" i="16"/>
  <c r="B59" i="16"/>
  <c r="D59" i="16"/>
  <c r="E59" i="16"/>
  <c r="F59" i="16"/>
  <c r="G59" i="16"/>
  <c r="H59" i="16"/>
  <c r="I59" i="16"/>
  <c r="J59" i="16"/>
  <c r="K59" i="16"/>
  <c r="L59" i="16"/>
  <c r="M59" i="16"/>
  <c r="N59" i="16"/>
  <c r="O59" i="16"/>
  <c r="P59" i="16"/>
  <c r="Q59" i="16"/>
  <c r="R59" i="16"/>
  <c r="S59" i="16"/>
  <c r="T59" i="16"/>
  <c r="U59" i="16"/>
  <c r="V59" i="16"/>
  <c r="W59" i="16"/>
  <c r="X59" i="16"/>
  <c r="A60" i="16"/>
  <c r="B60" i="16"/>
  <c r="D60" i="16"/>
  <c r="E60" i="16"/>
  <c r="F60" i="16"/>
  <c r="G60" i="16"/>
  <c r="H60" i="16"/>
  <c r="I60" i="16"/>
  <c r="J60" i="16"/>
  <c r="K60" i="16"/>
  <c r="L60" i="16"/>
  <c r="M60" i="16"/>
  <c r="N60" i="16"/>
  <c r="P60" i="16"/>
  <c r="Q60" i="16"/>
  <c r="R60" i="16"/>
  <c r="S60" i="16"/>
  <c r="T60" i="16"/>
  <c r="U60" i="16"/>
  <c r="V60" i="16"/>
  <c r="X60" i="16"/>
  <c r="A61" i="16"/>
  <c r="B61" i="16"/>
  <c r="D61" i="16"/>
  <c r="E61" i="16"/>
  <c r="F61" i="16"/>
  <c r="G61" i="16"/>
  <c r="H61" i="16"/>
  <c r="I61" i="16"/>
  <c r="J61" i="16"/>
  <c r="K61" i="16"/>
  <c r="L61" i="16"/>
  <c r="M61" i="16"/>
  <c r="N61" i="16"/>
  <c r="P61" i="16"/>
  <c r="Q61" i="16"/>
  <c r="R61" i="16"/>
  <c r="S61" i="16"/>
  <c r="T61" i="16"/>
  <c r="U61" i="16"/>
  <c r="V61" i="16"/>
  <c r="X61" i="16"/>
  <c r="A62" i="16"/>
  <c r="B62" i="16"/>
  <c r="D62" i="16"/>
  <c r="E62" i="16"/>
  <c r="F62" i="16"/>
  <c r="G62" i="16"/>
  <c r="H62" i="16"/>
  <c r="I62" i="16"/>
  <c r="J62" i="16"/>
  <c r="K62" i="16"/>
  <c r="L62" i="16"/>
  <c r="M62" i="16"/>
  <c r="N62" i="16"/>
  <c r="P62" i="16"/>
  <c r="Q62" i="16"/>
  <c r="R62" i="16"/>
  <c r="S62" i="16"/>
  <c r="T62" i="16"/>
  <c r="U62" i="16"/>
  <c r="V62" i="16"/>
  <c r="X62" i="16"/>
  <c r="A63" i="16"/>
  <c r="B63" i="16"/>
  <c r="D63" i="16"/>
  <c r="E63" i="16"/>
  <c r="F63" i="16"/>
  <c r="G63" i="16"/>
  <c r="H63" i="16"/>
  <c r="I63" i="16"/>
  <c r="J63" i="16"/>
  <c r="K63" i="16"/>
  <c r="L63" i="16"/>
  <c r="M63" i="16"/>
  <c r="N63" i="16"/>
  <c r="P63" i="16"/>
  <c r="Q63" i="16"/>
  <c r="R63" i="16"/>
  <c r="S63" i="16"/>
  <c r="T63" i="16"/>
  <c r="U63" i="16"/>
  <c r="V63" i="16"/>
  <c r="X63" i="16"/>
  <c r="A64" i="16"/>
  <c r="B64" i="16"/>
  <c r="D64" i="16"/>
  <c r="E64" i="16"/>
  <c r="F64" i="16"/>
  <c r="G64" i="16"/>
  <c r="H64" i="16"/>
  <c r="I64" i="16"/>
  <c r="J64" i="16"/>
  <c r="K64" i="16"/>
  <c r="L64" i="16"/>
  <c r="M64" i="16"/>
  <c r="N64" i="16"/>
  <c r="P64" i="16"/>
  <c r="Q64" i="16"/>
  <c r="R64" i="16"/>
  <c r="S64" i="16"/>
  <c r="T64" i="16"/>
  <c r="U64" i="16"/>
  <c r="V64" i="16"/>
  <c r="X64" i="16"/>
  <c r="A65" i="16"/>
  <c r="B65" i="16"/>
  <c r="D65" i="16"/>
  <c r="E65" i="16"/>
  <c r="F65" i="16"/>
  <c r="I65" i="16"/>
  <c r="P65" i="16"/>
  <c r="Q65" i="16"/>
  <c r="R65" i="16"/>
  <c r="S65" i="16"/>
  <c r="T65" i="16"/>
  <c r="U65" i="16"/>
  <c r="A66" i="16"/>
  <c r="B66" i="16"/>
  <c r="D66" i="16"/>
  <c r="E66" i="16"/>
  <c r="F66" i="16"/>
  <c r="G66" i="16"/>
  <c r="I66" i="16"/>
  <c r="P66" i="16"/>
  <c r="Q66" i="16"/>
  <c r="S66" i="16"/>
  <c r="T66" i="16"/>
  <c r="U66" i="16"/>
  <c r="A67" i="16"/>
  <c r="B67" i="16"/>
  <c r="F67" i="16"/>
  <c r="I67" i="16"/>
  <c r="P67" i="16"/>
  <c r="Q67" i="16"/>
  <c r="S67" i="16"/>
  <c r="U67" i="16"/>
  <c r="A68" i="16"/>
  <c r="B68" i="16"/>
  <c r="F68" i="16"/>
  <c r="I68" i="16"/>
  <c r="P68" i="16"/>
  <c r="Q68" i="16"/>
  <c r="S68" i="16"/>
  <c r="U68" i="16"/>
  <c r="J16" i="19"/>
  <c r="K16" i="19"/>
  <c r="L16" i="19"/>
  <c r="M16" i="19"/>
  <c r="N16" i="19"/>
  <c r="O16" i="19"/>
  <c r="P16" i="19"/>
  <c r="J17" i="19"/>
  <c r="K17" i="19"/>
  <c r="L17" i="19"/>
  <c r="M17" i="19"/>
  <c r="N17" i="19"/>
  <c r="O17" i="19"/>
  <c r="P17" i="19"/>
  <c r="J18" i="19"/>
  <c r="K18" i="19"/>
  <c r="L18" i="19"/>
  <c r="M18" i="19"/>
  <c r="N18" i="19"/>
  <c r="O18" i="19"/>
  <c r="P18" i="19"/>
  <c r="J19" i="19"/>
  <c r="K19" i="19"/>
  <c r="L19" i="19"/>
  <c r="M19" i="19"/>
  <c r="N19" i="19"/>
  <c r="O19" i="19"/>
  <c r="P19" i="19"/>
  <c r="J20" i="19"/>
  <c r="K20" i="19"/>
  <c r="L20" i="19"/>
  <c r="M20" i="19"/>
  <c r="N20" i="19"/>
  <c r="O20" i="19"/>
  <c r="P20" i="19"/>
  <c r="J21" i="19"/>
  <c r="K21" i="19"/>
  <c r="L21" i="19"/>
  <c r="M21" i="19"/>
  <c r="N21" i="19"/>
  <c r="O21" i="19"/>
  <c r="P21" i="19"/>
  <c r="J22" i="19"/>
  <c r="K22" i="19"/>
  <c r="L22" i="19"/>
  <c r="M22" i="19"/>
  <c r="N22" i="19"/>
  <c r="O22" i="19"/>
  <c r="P22" i="19"/>
  <c r="J23" i="19"/>
  <c r="K23" i="19"/>
  <c r="L23" i="19"/>
  <c r="M23" i="19"/>
  <c r="N23" i="19"/>
  <c r="O23" i="19"/>
  <c r="P23" i="19"/>
  <c r="J24" i="19"/>
  <c r="K24" i="19"/>
  <c r="L24" i="19"/>
  <c r="M24" i="19"/>
  <c r="N24" i="19"/>
  <c r="O24" i="19"/>
  <c r="P24" i="19"/>
  <c r="J25" i="19"/>
  <c r="K25" i="19"/>
  <c r="L25" i="19"/>
  <c r="M25" i="19"/>
  <c r="N25" i="19"/>
  <c r="O25" i="19"/>
  <c r="P25" i="19"/>
  <c r="J26" i="19"/>
  <c r="K26" i="19"/>
  <c r="L26" i="19"/>
  <c r="M26" i="19"/>
  <c r="N26" i="19"/>
  <c r="O26" i="19"/>
  <c r="P26" i="19"/>
  <c r="J27" i="19"/>
  <c r="K27" i="19"/>
  <c r="L27" i="19"/>
  <c r="M27" i="19"/>
  <c r="N27" i="19"/>
  <c r="O27" i="19"/>
  <c r="P27" i="19"/>
  <c r="J28" i="19"/>
  <c r="K28" i="19"/>
  <c r="L28" i="19"/>
  <c r="M28" i="19"/>
  <c r="N28" i="19"/>
  <c r="O28" i="19"/>
  <c r="P28" i="19"/>
  <c r="J29" i="19"/>
  <c r="K29" i="19"/>
  <c r="L29" i="19"/>
  <c r="M29" i="19"/>
  <c r="N29" i="19"/>
  <c r="O29" i="19"/>
  <c r="P29" i="19"/>
  <c r="J30" i="19"/>
  <c r="K30" i="19"/>
  <c r="L30" i="19"/>
  <c r="M30" i="19"/>
  <c r="N30" i="19"/>
  <c r="O30" i="19"/>
  <c r="P30" i="19"/>
  <c r="J31" i="19"/>
  <c r="K31" i="19"/>
  <c r="L31" i="19"/>
  <c r="M31" i="19"/>
  <c r="N31" i="19"/>
  <c r="O31" i="19"/>
  <c r="P31" i="19"/>
  <c r="J32" i="19"/>
  <c r="K32" i="19"/>
  <c r="L32" i="19"/>
  <c r="M32" i="19"/>
  <c r="N32" i="19"/>
  <c r="O32" i="19"/>
  <c r="P32" i="19"/>
  <c r="J33" i="19"/>
  <c r="K33" i="19"/>
  <c r="L33" i="19"/>
  <c r="M33" i="19"/>
  <c r="N33" i="19"/>
  <c r="O33" i="19"/>
  <c r="P33" i="19"/>
  <c r="J34" i="19"/>
  <c r="K34" i="19"/>
  <c r="L34" i="19"/>
  <c r="M34" i="19"/>
  <c r="N34" i="19"/>
  <c r="O34" i="19"/>
  <c r="P34" i="19"/>
  <c r="J35" i="19"/>
  <c r="K35" i="19"/>
  <c r="L35" i="19"/>
  <c r="M35" i="19"/>
  <c r="N35" i="19"/>
  <c r="O35" i="19"/>
  <c r="P35" i="19"/>
  <c r="J42" i="19"/>
  <c r="K42" i="19"/>
  <c r="L42" i="19"/>
  <c r="M42" i="19"/>
  <c r="N42" i="19"/>
  <c r="O42" i="19"/>
  <c r="P42" i="19"/>
  <c r="J43" i="19"/>
  <c r="K43" i="19"/>
  <c r="L43" i="19"/>
  <c r="M43" i="19"/>
  <c r="N43" i="19"/>
  <c r="O43" i="19"/>
  <c r="P43" i="19"/>
  <c r="J44" i="19"/>
  <c r="K44" i="19"/>
  <c r="L44" i="19"/>
  <c r="M44" i="19"/>
  <c r="N44" i="19"/>
  <c r="O44" i="19"/>
  <c r="P44" i="19"/>
  <c r="J45" i="19"/>
  <c r="K45" i="19"/>
  <c r="L45" i="19"/>
  <c r="M45" i="19"/>
  <c r="N45" i="19"/>
  <c r="O45" i="19"/>
  <c r="P45" i="19"/>
  <c r="J46" i="19"/>
  <c r="K46" i="19"/>
  <c r="L46" i="19"/>
  <c r="M46" i="19"/>
  <c r="N46" i="19"/>
  <c r="O46" i="19"/>
  <c r="P46" i="19"/>
  <c r="J47" i="19"/>
  <c r="K47" i="19"/>
  <c r="L47" i="19"/>
  <c r="M47" i="19"/>
  <c r="N47" i="19"/>
  <c r="O47" i="19"/>
  <c r="P47" i="19"/>
  <c r="J48" i="19"/>
  <c r="K48" i="19"/>
  <c r="L48" i="19"/>
  <c r="M48" i="19"/>
  <c r="N48" i="19"/>
  <c r="O48" i="19"/>
  <c r="P48" i="19"/>
  <c r="J49" i="19"/>
  <c r="K49" i="19"/>
  <c r="L49" i="19"/>
  <c r="M49" i="19"/>
  <c r="N49" i="19"/>
  <c r="O49" i="19"/>
  <c r="P49" i="19"/>
  <c r="J50" i="19"/>
  <c r="K50" i="19"/>
  <c r="L50" i="19"/>
  <c r="M50" i="19"/>
  <c r="N50" i="19"/>
  <c r="O50" i="19"/>
  <c r="P50" i="19"/>
  <c r="J51" i="19"/>
  <c r="K51" i="19"/>
  <c r="L51" i="19"/>
  <c r="M51" i="19"/>
  <c r="N51" i="19"/>
  <c r="O51" i="19"/>
  <c r="P51" i="19"/>
  <c r="J52" i="19"/>
  <c r="K52" i="19"/>
  <c r="L52" i="19"/>
  <c r="M52" i="19"/>
  <c r="N52" i="19"/>
  <c r="O52" i="19"/>
  <c r="P52" i="19"/>
  <c r="J53" i="19"/>
  <c r="K53" i="19"/>
  <c r="L53" i="19"/>
  <c r="M53" i="19"/>
  <c r="N53" i="19"/>
  <c r="O53" i="19"/>
  <c r="P53" i="19"/>
  <c r="J54" i="19"/>
  <c r="K54" i="19"/>
  <c r="L54" i="19"/>
  <c r="M54" i="19"/>
  <c r="N54" i="19"/>
  <c r="O54" i="19"/>
  <c r="P54" i="19"/>
  <c r="J55" i="19"/>
  <c r="K55" i="19"/>
  <c r="L55" i="19"/>
  <c r="M55" i="19"/>
  <c r="N55" i="19"/>
  <c r="O55" i="19"/>
  <c r="P55" i="19"/>
  <c r="J56" i="19"/>
  <c r="K56" i="19"/>
  <c r="L56" i="19"/>
  <c r="M56" i="19"/>
  <c r="N56" i="19"/>
  <c r="O56" i="19"/>
  <c r="P56" i="19"/>
  <c r="J57" i="19"/>
  <c r="K57" i="19"/>
  <c r="L57" i="19"/>
  <c r="M57" i="19"/>
  <c r="N57" i="19"/>
  <c r="O57" i="19"/>
  <c r="P57" i="19"/>
  <c r="J58" i="19"/>
  <c r="K58" i="19"/>
  <c r="L58" i="19"/>
  <c r="M58" i="19"/>
  <c r="N58" i="19"/>
  <c r="O58" i="19"/>
  <c r="P58" i="19"/>
  <c r="J59" i="19"/>
  <c r="K59" i="19"/>
  <c r="L59" i="19"/>
  <c r="M59" i="19"/>
  <c r="N59" i="19"/>
  <c r="O59" i="19"/>
  <c r="P59" i="19"/>
  <c r="J60" i="19"/>
  <c r="K60" i="19"/>
  <c r="L60" i="19"/>
  <c r="M60" i="19"/>
  <c r="N60" i="19"/>
  <c r="O60" i="19"/>
  <c r="P60" i="19"/>
  <c r="J61" i="19"/>
  <c r="K61" i="19"/>
  <c r="L61" i="19"/>
  <c r="M61" i="19"/>
  <c r="N61" i="19"/>
  <c r="O61" i="19"/>
  <c r="P61" i="19"/>
  <c r="J68" i="19"/>
  <c r="K68" i="19"/>
  <c r="L68" i="19"/>
  <c r="M68" i="19"/>
  <c r="N68" i="19"/>
  <c r="O68" i="19"/>
  <c r="P68" i="19"/>
  <c r="J69" i="19"/>
  <c r="K69" i="19"/>
  <c r="L69" i="19"/>
  <c r="M69" i="19"/>
  <c r="N69" i="19"/>
  <c r="O69" i="19"/>
  <c r="P69" i="19"/>
  <c r="J70" i="19"/>
  <c r="K70" i="19"/>
  <c r="L70" i="19"/>
  <c r="M70" i="19"/>
  <c r="N70" i="19"/>
  <c r="O70" i="19"/>
  <c r="P70" i="19"/>
  <c r="J71" i="19"/>
  <c r="K71" i="19"/>
  <c r="L71" i="19"/>
  <c r="M71" i="19"/>
  <c r="N71" i="19"/>
  <c r="O71" i="19"/>
  <c r="P71" i="19"/>
  <c r="J72" i="19"/>
  <c r="K72" i="19"/>
  <c r="L72" i="19"/>
  <c r="M72" i="19"/>
  <c r="N72" i="19"/>
  <c r="O72" i="19"/>
  <c r="P72" i="19"/>
  <c r="J73" i="19"/>
  <c r="K73" i="19"/>
  <c r="L73" i="19"/>
  <c r="M73" i="19"/>
  <c r="N73" i="19"/>
  <c r="O73" i="19"/>
  <c r="P73" i="19"/>
  <c r="J74" i="19"/>
  <c r="K74" i="19"/>
  <c r="L74" i="19"/>
  <c r="M74" i="19"/>
  <c r="N74" i="19"/>
  <c r="O74" i="19"/>
  <c r="P74" i="19"/>
  <c r="J75" i="19"/>
  <c r="K75" i="19"/>
  <c r="L75" i="19"/>
  <c r="M75" i="19"/>
  <c r="N75" i="19"/>
  <c r="O75" i="19"/>
  <c r="P75" i="19"/>
  <c r="J76" i="19"/>
  <c r="K76" i="19"/>
  <c r="L76" i="19"/>
  <c r="M76" i="19"/>
  <c r="N76" i="19"/>
  <c r="O76" i="19"/>
  <c r="P76" i="19"/>
  <c r="J77" i="19"/>
  <c r="K77" i="19"/>
  <c r="L77" i="19"/>
  <c r="M77" i="19"/>
  <c r="N77" i="19"/>
  <c r="O77" i="19"/>
  <c r="P77" i="19"/>
  <c r="J78" i="19"/>
  <c r="K78" i="19"/>
  <c r="L78" i="19"/>
  <c r="M78" i="19"/>
  <c r="N78" i="19"/>
  <c r="O78" i="19"/>
  <c r="P78" i="19"/>
  <c r="J79" i="19"/>
  <c r="K79" i="19"/>
  <c r="L79" i="19"/>
  <c r="M79" i="19"/>
  <c r="N79" i="19"/>
  <c r="O79" i="19"/>
  <c r="P79" i="19"/>
  <c r="J80" i="19"/>
  <c r="K80" i="19"/>
  <c r="L80" i="19"/>
  <c r="M80" i="19"/>
  <c r="N80" i="19"/>
  <c r="O80" i="19"/>
  <c r="P80" i="19"/>
  <c r="J81" i="19"/>
  <c r="K81" i="19"/>
  <c r="L81" i="19"/>
  <c r="M81" i="19"/>
  <c r="N81" i="19"/>
  <c r="O81" i="19"/>
  <c r="P81" i="19"/>
  <c r="J82" i="19"/>
  <c r="K82" i="19"/>
  <c r="L82" i="19"/>
  <c r="M82" i="19"/>
  <c r="N82" i="19"/>
  <c r="O82" i="19"/>
  <c r="P82" i="19"/>
  <c r="J83" i="19"/>
  <c r="K83" i="19"/>
  <c r="L83" i="19"/>
  <c r="M83" i="19"/>
  <c r="N83" i="19"/>
  <c r="O83" i="19"/>
  <c r="P83" i="19"/>
  <c r="J84" i="19"/>
  <c r="K84" i="19"/>
  <c r="L84" i="19"/>
  <c r="M84" i="19"/>
  <c r="N84" i="19"/>
  <c r="O84" i="19"/>
  <c r="P84" i="19"/>
  <c r="J85" i="19"/>
  <c r="K85" i="19"/>
  <c r="L85" i="19"/>
  <c r="M85" i="19"/>
  <c r="N85" i="19"/>
  <c r="O85" i="19"/>
  <c r="P85" i="19"/>
  <c r="J86" i="19"/>
  <c r="K86" i="19"/>
  <c r="L86" i="19"/>
  <c r="M86" i="19"/>
  <c r="N86" i="19"/>
  <c r="O86" i="19"/>
  <c r="P86" i="19"/>
  <c r="J87" i="19"/>
  <c r="K87" i="19"/>
  <c r="L87" i="19"/>
  <c r="M87" i="19"/>
  <c r="N87" i="19"/>
  <c r="O87" i="19"/>
  <c r="P87" i="19"/>
  <c r="J94" i="19"/>
  <c r="K94" i="19"/>
  <c r="L94" i="19"/>
  <c r="M94" i="19"/>
  <c r="N94" i="19"/>
  <c r="O94" i="19"/>
  <c r="P94" i="19"/>
  <c r="J95" i="19"/>
  <c r="K95" i="19"/>
  <c r="L95" i="19"/>
  <c r="M95" i="19"/>
  <c r="N95" i="19"/>
  <c r="O95" i="19"/>
  <c r="P95" i="19"/>
  <c r="J96" i="19"/>
  <c r="K96" i="19"/>
  <c r="L96" i="19"/>
  <c r="M96" i="19"/>
  <c r="N96" i="19"/>
  <c r="O96" i="19"/>
  <c r="P96" i="19"/>
  <c r="J97" i="19"/>
  <c r="K97" i="19"/>
  <c r="L97" i="19"/>
  <c r="M97" i="19"/>
  <c r="N97" i="19"/>
  <c r="O97" i="19"/>
  <c r="P97" i="19"/>
  <c r="J98" i="19"/>
  <c r="K98" i="19"/>
  <c r="L98" i="19"/>
  <c r="M98" i="19"/>
  <c r="N98" i="19"/>
  <c r="O98" i="19"/>
  <c r="P98" i="19"/>
  <c r="J99" i="19"/>
  <c r="K99" i="19"/>
  <c r="L99" i="19"/>
  <c r="M99" i="19"/>
  <c r="N99" i="19"/>
  <c r="O99" i="19"/>
  <c r="P99" i="19"/>
  <c r="J100" i="19"/>
  <c r="K100" i="19"/>
  <c r="L100" i="19"/>
  <c r="M100" i="19"/>
  <c r="N100" i="19"/>
  <c r="O100" i="19"/>
  <c r="P100" i="19"/>
  <c r="J101" i="19"/>
  <c r="K101" i="19"/>
  <c r="L101" i="19"/>
  <c r="M101" i="19"/>
  <c r="N101" i="19"/>
  <c r="O101" i="19"/>
  <c r="P101" i="19"/>
  <c r="J102" i="19"/>
  <c r="K102" i="19"/>
  <c r="L102" i="19"/>
  <c r="M102" i="19"/>
  <c r="N102" i="19"/>
  <c r="O102" i="19"/>
  <c r="P102" i="19"/>
  <c r="J103" i="19"/>
  <c r="K103" i="19"/>
  <c r="L103" i="19"/>
  <c r="M103" i="19"/>
  <c r="N103" i="19"/>
  <c r="O103" i="19"/>
  <c r="P103" i="19"/>
  <c r="J104" i="19"/>
  <c r="K104" i="19"/>
  <c r="L104" i="19"/>
  <c r="M104" i="19"/>
  <c r="N104" i="19"/>
  <c r="O104" i="19"/>
  <c r="P104" i="19"/>
  <c r="J105" i="19"/>
  <c r="K105" i="19"/>
  <c r="L105" i="19"/>
  <c r="M105" i="19"/>
  <c r="N105" i="19"/>
  <c r="O105" i="19"/>
  <c r="P105" i="19"/>
  <c r="J106" i="19"/>
  <c r="K106" i="19"/>
  <c r="L106" i="19"/>
  <c r="M106" i="19"/>
  <c r="N106" i="19"/>
  <c r="O106" i="19"/>
  <c r="P106" i="19"/>
  <c r="J107" i="19"/>
  <c r="K107" i="19"/>
  <c r="L107" i="19"/>
  <c r="M107" i="19"/>
  <c r="N107" i="19"/>
  <c r="O107" i="19"/>
  <c r="P107" i="19"/>
  <c r="J108" i="19"/>
  <c r="K108" i="19"/>
  <c r="L108" i="19"/>
  <c r="M108" i="19"/>
  <c r="N108" i="19"/>
  <c r="O108" i="19"/>
  <c r="P108" i="19"/>
  <c r="J109" i="19"/>
  <c r="K109" i="19"/>
  <c r="L109" i="19"/>
  <c r="M109" i="19"/>
  <c r="N109" i="19"/>
  <c r="O109" i="19"/>
  <c r="P109" i="19"/>
  <c r="J110" i="19"/>
  <c r="K110" i="19"/>
  <c r="L110" i="19"/>
  <c r="M110" i="19"/>
  <c r="N110" i="19"/>
  <c r="O110" i="19"/>
  <c r="P110" i="19"/>
  <c r="J111" i="19"/>
  <c r="K111" i="19"/>
  <c r="L111" i="19"/>
  <c r="M111" i="19"/>
  <c r="N111" i="19"/>
  <c r="O111" i="19"/>
  <c r="P111" i="19"/>
  <c r="J112" i="19"/>
  <c r="K112" i="19"/>
  <c r="L112" i="19"/>
  <c r="M112" i="19"/>
  <c r="N112" i="19"/>
  <c r="O112" i="19"/>
  <c r="P112" i="19"/>
  <c r="J113" i="19"/>
  <c r="K113" i="19"/>
  <c r="L113" i="19"/>
  <c r="M113" i="19"/>
  <c r="N113" i="19"/>
  <c r="O113" i="19"/>
  <c r="P113" i="19"/>
  <c r="J120" i="19"/>
  <c r="K120" i="19"/>
  <c r="L120" i="19"/>
  <c r="M120" i="19"/>
  <c r="N120" i="19"/>
  <c r="O120" i="19"/>
  <c r="P120" i="19"/>
  <c r="J121" i="19"/>
  <c r="K121" i="19"/>
  <c r="L121" i="19"/>
  <c r="M121" i="19"/>
  <c r="N121" i="19"/>
  <c r="O121" i="19"/>
  <c r="P121" i="19"/>
  <c r="J122" i="19"/>
  <c r="K122" i="19"/>
  <c r="L122" i="19"/>
  <c r="M122" i="19"/>
  <c r="N122" i="19"/>
  <c r="O122" i="19"/>
  <c r="P122" i="19"/>
  <c r="J123" i="19"/>
  <c r="K123" i="19"/>
  <c r="L123" i="19"/>
  <c r="M123" i="19"/>
  <c r="N123" i="19"/>
  <c r="O123" i="19"/>
  <c r="P123" i="19"/>
  <c r="J124" i="19"/>
  <c r="K124" i="19"/>
  <c r="L124" i="19"/>
  <c r="M124" i="19"/>
  <c r="N124" i="19"/>
  <c r="O124" i="19"/>
  <c r="P124" i="19"/>
  <c r="J125" i="19"/>
  <c r="K125" i="19"/>
  <c r="L125" i="19"/>
  <c r="M125" i="19"/>
  <c r="N125" i="19"/>
  <c r="O125" i="19"/>
  <c r="P125" i="19"/>
  <c r="J126" i="19"/>
  <c r="K126" i="19"/>
  <c r="L126" i="19"/>
  <c r="M126" i="19"/>
  <c r="N126" i="19"/>
  <c r="O126" i="19"/>
  <c r="P126" i="19"/>
  <c r="J127" i="19"/>
  <c r="K127" i="19"/>
  <c r="L127" i="19"/>
  <c r="M127" i="19"/>
  <c r="N127" i="19"/>
  <c r="O127" i="19"/>
  <c r="P127" i="19"/>
  <c r="J128" i="19"/>
  <c r="J129" i="19"/>
  <c r="K129" i="19"/>
  <c r="L129" i="19"/>
  <c r="M129" i="19"/>
  <c r="N129" i="19"/>
  <c r="O129" i="19"/>
  <c r="P129" i="19"/>
  <c r="J130" i="19"/>
  <c r="K130" i="19"/>
  <c r="L130" i="19"/>
  <c r="M130" i="19"/>
  <c r="N130" i="19"/>
  <c r="O130" i="19"/>
  <c r="P130" i="19"/>
  <c r="J131" i="19"/>
  <c r="K131" i="19"/>
  <c r="L131" i="19"/>
  <c r="M131" i="19"/>
  <c r="N131" i="19"/>
  <c r="O131" i="19"/>
  <c r="P131" i="19"/>
  <c r="J132" i="19"/>
  <c r="K132" i="19"/>
  <c r="L132" i="19"/>
  <c r="M132" i="19"/>
  <c r="N132" i="19"/>
  <c r="O132" i="19"/>
  <c r="P132" i="19"/>
  <c r="J133" i="19"/>
  <c r="K133" i="19"/>
  <c r="L133" i="19"/>
  <c r="M133" i="19"/>
  <c r="N133" i="19"/>
  <c r="O133" i="19"/>
  <c r="P133" i="19"/>
  <c r="J134" i="19"/>
  <c r="K134" i="19"/>
  <c r="L134" i="19"/>
  <c r="M134" i="19"/>
  <c r="N134" i="19"/>
  <c r="O134" i="19"/>
  <c r="P134" i="19"/>
  <c r="J135" i="19"/>
  <c r="K135" i="19"/>
  <c r="L135" i="19"/>
  <c r="M135" i="19"/>
  <c r="N135" i="19"/>
  <c r="O135" i="19"/>
  <c r="P135" i="19"/>
  <c r="J136" i="19"/>
  <c r="K136" i="19"/>
  <c r="L136" i="19"/>
  <c r="M136" i="19"/>
  <c r="N136" i="19"/>
  <c r="O136" i="19"/>
  <c r="P136" i="19"/>
  <c r="J137" i="19"/>
  <c r="K137" i="19"/>
  <c r="L137" i="19"/>
  <c r="M137" i="19"/>
  <c r="N137" i="19"/>
  <c r="O137" i="19"/>
  <c r="P137" i="19"/>
  <c r="J138" i="19"/>
  <c r="K138" i="19"/>
  <c r="L138" i="19"/>
  <c r="M138" i="19"/>
  <c r="N138" i="19"/>
  <c r="O138" i="19"/>
  <c r="P138" i="19"/>
  <c r="J139" i="19"/>
  <c r="K139" i="19"/>
  <c r="L139" i="19"/>
  <c r="M139" i="19"/>
  <c r="N139" i="19"/>
  <c r="O139" i="19"/>
  <c r="P139" i="19"/>
  <c r="J146" i="19"/>
  <c r="K146" i="19"/>
  <c r="L146" i="19"/>
  <c r="M146" i="19"/>
  <c r="N146" i="19"/>
  <c r="O146" i="19"/>
  <c r="P146" i="19"/>
  <c r="J147" i="19"/>
  <c r="K147" i="19"/>
  <c r="L147" i="19"/>
  <c r="M147" i="19"/>
  <c r="N147" i="19"/>
  <c r="O147" i="19"/>
  <c r="P147" i="19"/>
  <c r="J148" i="19"/>
  <c r="K148" i="19"/>
  <c r="L148" i="19"/>
  <c r="M148" i="19"/>
  <c r="N148" i="19"/>
  <c r="O148" i="19"/>
  <c r="P148" i="19"/>
  <c r="J149" i="19"/>
  <c r="K149" i="19"/>
  <c r="L149" i="19"/>
  <c r="M149" i="19"/>
  <c r="N149" i="19"/>
  <c r="O149" i="19"/>
  <c r="P149" i="19"/>
  <c r="J150" i="19"/>
  <c r="K150" i="19"/>
  <c r="L150" i="19"/>
  <c r="M150" i="19"/>
  <c r="N150" i="19"/>
  <c r="O150" i="19"/>
  <c r="P150" i="19"/>
  <c r="J151" i="19"/>
  <c r="K151" i="19"/>
  <c r="L151" i="19"/>
  <c r="M151" i="19"/>
  <c r="N151" i="19"/>
  <c r="O151" i="19"/>
  <c r="P151" i="19"/>
  <c r="J152" i="19"/>
  <c r="K152" i="19"/>
  <c r="L152" i="19"/>
  <c r="M152" i="19"/>
  <c r="N152" i="19"/>
  <c r="O152" i="19"/>
  <c r="P152" i="19"/>
  <c r="J153" i="19"/>
  <c r="K153" i="19"/>
  <c r="L153" i="19"/>
  <c r="M153" i="19"/>
  <c r="N153" i="19"/>
  <c r="O153" i="19"/>
  <c r="P153" i="19"/>
  <c r="J154" i="19"/>
  <c r="J155" i="19"/>
  <c r="K155" i="19"/>
  <c r="L155" i="19"/>
  <c r="M155" i="19"/>
  <c r="N155" i="19"/>
  <c r="O155" i="19"/>
  <c r="P155" i="19"/>
  <c r="J156" i="19"/>
  <c r="K156" i="19"/>
  <c r="L156" i="19"/>
  <c r="M156" i="19"/>
  <c r="N156" i="19"/>
  <c r="O156" i="19"/>
  <c r="P156" i="19"/>
  <c r="J157" i="19"/>
  <c r="K157" i="19"/>
  <c r="L157" i="19"/>
  <c r="M157" i="19"/>
  <c r="N157" i="19"/>
  <c r="O157" i="19"/>
  <c r="P157" i="19"/>
  <c r="J158" i="19"/>
  <c r="K158" i="19"/>
  <c r="L158" i="19"/>
  <c r="M158" i="19"/>
  <c r="N158" i="19"/>
  <c r="O158" i="19"/>
  <c r="P158" i="19"/>
  <c r="J159" i="19"/>
  <c r="K159" i="19"/>
  <c r="L159" i="19"/>
  <c r="M159" i="19"/>
  <c r="N159" i="19"/>
  <c r="O159" i="19"/>
  <c r="P159" i="19"/>
  <c r="J160" i="19"/>
  <c r="K160" i="19"/>
  <c r="L160" i="19"/>
  <c r="M160" i="19"/>
  <c r="N160" i="19"/>
  <c r="O160" i="19"/>
  <c r="P160" i="19"/>
  <c r="J161" i="19"/>
  <c r="K161" i="19"/>
  <c r="L161" i="19"/>
  <c r="M161" i="19"/>
  <c r="N161" i="19"/>
  <c r="O161" i="19"/>
  <c r="P161" i="19"/>
  <c r="J162" i="19"/>
  <c r="K162" i="19"/>
  <c r="L162" i="19"/>
  <c r="M162" i="19"/>
  <c r="N162" i="19"/>
  <c r="O162" i="19"/>
  <c r="P162" i="19"/>
  <c r="J163" i="19"/>
  <c r="K163" i="19"/>
  <c r="L163" i="19"/>
  <c r="M163" i="19"/>
  <c r="N163" i="19"/>
  <c r="O163" i="19"/>
  <c r="P163" i="19"/>
  <c r="J164" i="19"/>
  <c r="K164" i="19"/>
  <c r="L164" i="19"/>
  <c r="M164" i="19"/>
  <c r="N164" i="19"/>
  <c r="O164" i="19"/>
  <c r="P164" i="19"/>
  <c r="J165" i="19"/>
  <c r="K165" i="19"/>
  <c r="L165" i="19"/>
  <c r="M165" i="19"/>
  <c r="N165" i="19"/>
  <c r="O165" i="19"/>
  <c r="P165" i="19"/>
  <c r="H9" i="18"/>
  <c r="I9" i="18"/>
  <c r="J9" i="18"/>
  <c r="K9" i="18"/>
  <c r="L9" i="18"/>
  <c r="M9" i="18"/>
  <c r="H10" i="18"/>
  <c r="I10" i="18"/>
  <c r="J10" i="18"/>
  <c r="K10" i="18"/>
  <c r="L10" i="18"/>
  <c r="M10" i="18"/>
  <c r="H11" i="18"/>
  <c r="I11" i="18"/>
  <c r="J11" i="18"/>
  <c r="K11" i="18"/>
  <c r="L11" i="18"/>
  <c r="M11" i="18"/>
  <c r="H12" i="18"/>
  <c r="I12" i="18"/>
  <c r="J12" i="18"/>
  <c r="K12" i="18"/>
  <c r="L12" i="18"/>
  <c r="M12" i="18"/>
  <c r="H13" i="18"/>
  <c r="I13" i="18"/>
  <c r="J13" i="18"/>
  <c r="K13" i="18"/>
  <c r="L13" i="18"/>
  <c r="M13" i="18"/>
  <c r="H14" i="18"/>
  <c r="I14" i="18"/>
  <c r="J14" i="18"/>
  <c r="K14" i="18"/>
  <c r="L14" i="18"/>
  <c r="M14" i="18"/>
  <c r="H15" i="18"/>
  <c r="I15" i="18"/>
  <c r="J15" i="18"/>
  <c r="K15" i="18"/>
  <c r="L15" i="18"/>
  <c r="M15" i="18"/>
  <c r="H16" i="18"/>
  <c r="I16" i="18"/>
  <c r="J16" i="18"/>
  <c r="K16" i="18"/>
  <c r="L16" i="18"/>
  <c r="M16" i="18"/>
  <c r="H17" i="18"/>
  <c r="I17" i="18"/>
  <c r="J17" i="18"/>
  <c r="K17" i="18"/>
  <c r="L17" i="18"/>
  <c r="M17" i="18"/>
  <c r="H18" i="18"/>
  <c r="I18" i="18"/>
  <c r="J18" i="18"/>
  <c r="K18" i="18"/>
  <c r="L18" i="18"/>
  <c r="M18" i="18"/>
  <c r="H19" i="18"/>
  <c r="I19" i="18"/>
  <c r="J19" i="18"/>
  <c r="K19" i="18"/>
  <c r="L19" i="18"/>
  <c r="M19" i="18"/>
  <c r="H20" i="18"/>
  <c r="I20" i="18"/>
  <c r="J20" i="18"/>
  <c r="K20" i="18"/>
  <c r="L20" i="18"/>
  <c r="M20" i="18"/>
  <c r="H21" i="18"/>
  <c r="I21" i="18"/>
  <c r="J21" i="18"/>
  <c r="K21" i="18"/>
  <c r="L21" i="18"/>
  <c r="M21" i="18"/>
  <c r="H22" i="18"/>
  <c r="I22" i="18"/>
  <c r="J22" i="18"/>
  <c r="K22" i="18"/>
  <c r="L22" i="18"/>
  <c r="M22" i="18"/>
  <c r="H23" i="18"/>
  <c r="I23" i="18"/>
  <c r="J23" i="18"/>
  <c r="K23" i="18"/>
  <c r="L23" i="18"/>
  <c r="M23" i="18"/>
  <c r="H24" i="18"/>
  <c r="I24" i="18"/>
  <c r="J24" i="18"/>
  <c r="K24" i="18"/>
  <c r="L24" i="18"/>
  <c r="M24" i="18"/>
  <c r="H25" i="18"/>
  <c r="I25" i="18"/>
  <c r="J25" i="18"/>
  <c r="K25" i="18"/>
  <c r="L25" i="18"/>
  <c r="M25" i="18"/>
  <c r="H26" i="18"/>
  <c r="I26" i="18"/>
  <c r="J26" i="18"/>
  <c r="K26" i="18"/>
  <c r="L26" i="18"/>
  <c r="M26" i="18"/>
  <c r="H27" i="18"/>
  <c r="I27" i="18"/>
  <c r="J27" i="18"/>
  <c r="K27" i="18"/>
  <c r="L27" i="18"/>
  <c r="M27" i="18"/>
  <c r="H28" i="18"/>
  <c r="I28" i="18"/>
  <c r="J28" i="18"/>
  <c r="K28" i="18"/>
  <c r="L28" i="18"/>
  <c r="M28" i="18"/>
  <c r="H36" i="18"/>
  <c r="I36" i="18"/>
  <c r="J36" i="18"/>
  <c r="K36" i="18"/>
  <c r="L36" i="18"/>
  <c r="M36" i="18"/>
  <c r="H37" i="18"/>
  <c r="I37" i="18"/>
  <c r="J37" i="18"/>
  <c r="K37" i="18"/>
  <c r="L37" i="18"/>
  <c r="M37" i="18"/>
  <c r="H38" i="18"/>
  <c r="I38" i="18"/>
  <c r="J38" i="18"/>
  <c r="K38" i="18"/>
  <c r="L38" i="18"/>
  <c r="M38" i="18"/>
  <c r="H39" i="18"/>
  <c r="I39" i="18"/>
  <c r="J39" i="18"/>
  <c r="K39" i="18"/>
  <c r="L39" i="18"/>
  <c r="M39" i="18"/>
  <c r="H40" i="18"/>
  <c r="I40" i="18"/>
  <c r="J40" i="18"/>
  <c r="K40" i="18"/>
  <c r="L40" i="18"/>
  <c r="M40" i="18"/>
  <c r="H41" i="18"/>
  <c r="I41" i="18"/>
  <c r="J41" i="18"/>
  <c r="K41" i="18"/>
  <c r="L41" i="18"/>
  <c r="M41" i="18"/>
  <c r="H42" i="18"/>
  <c r="I42" i="18"/>
  <c r="J42" i="18"/>
  <c r="K42" i="18"/>
  <c r="L42" i="18"/>
  <c r="M42" i="18"/>
  <c r="H43" i="18"/>
  <c r="I43" i="18"/>
  <c r="J43" i="18"/>
  <c r="K43" i="18"/>
  <c r="L43" i="18"/>
  <c r="M43" i="18"/>
  <c r="H44" i="18"/>
  <c r="I44" i="18"/>
  <c r="J44" i="18"/>
  <c r="K44" i="18"/>
  <c r="L44" i="18"/>
  <c r="M44" i="18"/>
  <c r="H45" i="18"/>
  <c r="I45" i="18"/>
  <c r="J45" i="18"/>
  <c r="K45" i="18"/>
  <c r="L45" i="18"/>
  <c r="M45" i="18"/>
  <c r="H46" i="18"/>
  <c r="I46" i="18"/>
  <c r="J46" i="18"/>
  <c r="K46" i="18"/>
  <c r="L46" i="18"/>
  <c r="M46" i="18"/>
  <c r="H47" i="18"/>
  <c r="I47" i="18"/>
  <c r="J47" i="18"/>
  <c r="K47" i="18"/>
  <c r="L47" i="18"/>
  <c r="M47" i="18"/>
  <c r="H48" i="18"/>
  <c r="I48" i="18"/>
  <c r="J48" i="18"/>
  <c r="K48" i="18"/>
  <c r="L48" i="18"/>
  <c r="M48" i="18"/>
  <c r="H49" i="18"/>
  <c r="I49" i="18"/>
  <c r="J49" i="18"/>
  <c r="K49" i="18"/>
  <c r="L49" i="18"/>
  <c r="M49" i="18"/>
  <c r="H50" i="18"/>
  <c r="I50" i="18"/>
  <c r="J50" i="18"/>
  <c r="K50" i="18"/>
  <c r="L50" i="18"/>
  <c r="M50" i="18"/>
  <c r="H51" i="18"/>
  <c r="I51" i="18"/>
  <c r="J51" i="18"/>
  <c r="K51" i="18"/>
  <c r="L51" i="18"/>
  <c r="M51" i="18"/>
  <c r="H52" i="18"/>
  <c r="I52" i="18"/>
  <c r="J52" i="18"/>
  <c r="K52" i="18"/>
  <c r="L52" i="18"/>
  <c r="M52" i="18"/>
  <c r="H53" i="18"/>
  <c r="I53" i="18"/>
  <c r="J53" i="18"/>
  <c r="K53" i="18"/>
  <c r="L53" i="18"/>
  <c r="M53" i="18"/>
  <c r="H54" i="18"/>
  <c r="I54" i="18"/>
  <c r="J54" i="18"/>
  <c r="K54" i="18"/>
  <c r="L54" i="18"/>
  <c r="M54" i="18"/>
  <c r="H55" i="18"/>
  <c r="I55" i="18"/>
  <c r="J55" i="18"/>
  <c r="K55" i="18"/>
  <c r="L55" i="18"/>
  <c r="M55" i="18"/>
  <c r="H63" i="18"/>
  <c r="I63" i="18"/>
  <c r="J63" i="18"/>
  <c r="K63" i="18"/>
  <c r="L63" i="18"/>
  <c r="M63" i="18"/>
  <c r="H64" i="18"/>
  <c r="I64" i="18"/>
  <c r="J64" i="18"/>
  <c r="K64" i="18"/>
  <c r="L64" i="18"/>
  <c r="M64" i="18"/>
  <c r="H65" i="18"/>
  <c r="I65" i="18"/>
  <c r="J65" i="18"/>
  <c r="K65" i="18"/>
  <c r="L65" i="18"/>
  <c r="M65" i="18"/>
  <c r="H66" i="18"/>
  <c r="I66" i="18"/>
  <c r="J66" i="18"/>
  <c r="K66" i="18"/>
  <c r="L66" i="18"/>
  <c r="M66" i="18"/>
  <c r="H67" i="18"/>
  <c r="I67" i="18"/>
  <c r="J67" i="18"/>
  <c r="K67" i="18"/>
  <c r="L67" i="18"/>
  <c r="M67" i="18"/>
  <c r="H68" i="18"/>
  <c r="I68" i="18"/>
  <c r="J68" i="18"/>
  <c r="K68" i="18"/>
  <c r="L68" i="18"/>
  <c r="M68" i="18"/>
  <c r="H69" i="18"/>
  <c r="I69" i="18"/>
  <c r="J69" i="18"/>
  <c r="K69" i="18"/>
  <c r="L69" i="18"/>
  <c r="M69" i="18"/>
  <c r="H70" i="18"/>
  <c r="I70" i="18"/>
  <c r="J70" i="18"/>
  <c r="K70" i="18"/>
  <c r="L70" i="18"/>
  <c r="M70" i="18"/>
  <c r="H71" i="18"/>
  <c r="I71" i="18"/>
  <c r="J71" i="18"/>
  <c r="K71" i="18"/>
  <c r="L71" i="18"/>
  <c r="M71" i="18"/>
  <c r="H72" i="18"/>
  <c r="I72" i="18"/>
  <c r="J72" i="18"/>
  <c r="K72" i="18"/>
  <c r="L72" i="18"/>
  <c r="M72" i="18"/>
  <c r="H73" i="18"/>
  <c r="I73" i="18"/>
  <c r="J73" i="18"/>
  <c r="K73" i="18"/>
  <c r="L73" i="18"/>
  <c r="M73" i="18"/>
  <c r="H74" i="18"/>
  <c r="I74" i="18"/>
  <c r="J74" i="18"/>
  <c r="K74" i="18"/>
  <c r="L74" i="18"/>
  <c r="M74" i="18"/>
  <c r="H75" i="18"/>
  <c r="I75" i="18"/>
  <c r="J75" i="18"/>
  <c r="K75" i="18"/>
  <c r="L75" i="18"/>
  <c r="M75" i="18"/>
  <c r="H76" i="18"/>
  <c r="I76" i="18"/>
  <c r="J76" i="18"/>
  <c r="K76" i="18"/>
  <c r="L76" i="18"/>
  <c r="M76" i="18"/>
  <c r="H77" i="18"/>
  <c r="I77" i="18"/>
  <c r="J77" i="18"/>
  <c r="K77" i="18"/>
  <c r="L77" i="18"/>
  <c r="M77" i="18"/>
  <c r="H78" i="18"/>
  <c r="I78" i="18"/>
  <c r="J78" i="18"/>
  <c r="K78" i="18"/>
  <c r="L78" i="18"/>
  <c r="M78" i="18"/>
  <c r="H79" i="18"/>
  <c r="I79" i="18"/>
  <c r="J79" i="18"/>
  <c r="K79" i="18"/>
  <c r="L79" i="18"/>
  <c r="M79" i="18"/>
  <c r="H80" i="18"/>
  <c r="I80" i="18"/>
  <c r="J80" i="18"/>
  <c r="K80" i="18"/>
  <c r="L80" i="18"/>
  <c r="M80" i="18"/>
  <c r="H81" i="18"/>
  <c r="I81" i="18"/>
  <c r="J81" i="18"/>
  <c r="K81" i="18"/>
  <c r="L81" i="18"/>
  <c r="M81" i="18"/>
  <c r="H82" i="18"/>
  <c r="I82" i="18"/>
  <c r="J82" i="18"/>
  <c r="K82" i="18"/>
  <c r="L82" i="18"/>
  <c r="M82" i="18"/>
  <c r="H90" i="18"/>
  <c r="I90" i="18"/>
  <c r="J90" i="18"/>
  <c r="K90" i="18"/>
  <c r="L90" i="18"/>
  <c r="M90" i="18"/>
  <c r="H91" i="18"/>
  <c r="I91" i="18"/>
  <c r="J91" i="18"/>
  <c r="K91" i="18"/>
  <c r="L91" i="18"/>
  <c r="M91" i="18"/>
  <c r="H92" i="18"/>
  <c r="I92" i="18"/>
  <c r="J92" i="18"/>
  <c r="K92" i="18"/>
  <c r="L92" i="18"/>
  <c r="M92" i="18"/>
  <c r="H93" i="18"/>
  <c r="I93" i="18"/>
  <c r="J93" i="18"/>
  <c r="K93" i="18"/>
  <c r="L93" i="18"/>
  <c r="M93" i="18"/>
  <c r="H94" i="18"/>
  <c r="I94" i="18"/>
  <c r="J94" i="18"/>
  <c r="K94" i="18"/>
  <c r="L94" i="18"/>
  <c r="M94" i="18"/>
  <c r="H95" i="18"/>
  <c r="I95" i="18"/>
  <c r="J95" i="18"/>
  <c r="K95" i="18"/>
  <c r="L95" i="18"/>
  <c r="M95" i="18"/>
  <c r="H96" i="18"/>
  <c r="I96" i="18"/>
  <c r="J96" i="18"/>
  <c r="K96" i="18"/>
  <c r="L96" i="18"/>
  <c r="M96" i="18"/>
  <c r="H97" i="18"/>
  <c r="I97" i="18"/>
  <c r="J97" i="18"/>
  <c r="K97" i="18"/>
  <c r="L97" i="18"/>
  <c r="M97" i="18"/>
  <c r="H98" i="18"/>
  <c r="I98" i="18"/>
  <c r="J98" i="18"/>
  <c r="K98" i="18"/>
  <c r="L98" i="18"/>
  <c r="M98" i="18"/>
  <c r="H99" i="18"/>
  <c r="I99" i="18"/>
  <c r="J99" i="18"/>
  <c r="K99" i="18"/>
  <c r="L99" i="18"/>
  <c r="M99" i="18"/>
  <c r="H100" i="18"/>
  <c r="I100" i="18"/>
  <c r="J100" i="18"/>
  <c r="K100" i="18"/>
  <c r="L100" i="18"/>
  <c r="M100" i="18"/>
  <c r="H101" i="18"/>
  <c r="I101" i="18"/>
  <c r="J101" i="18"/>
  <c r="K101" i="18"/>
  <c r="L101" i="18"/>
  <c r="M101" i="18"/>
  <c r="H102" i="18"/>
  <c r="I102" i="18"/>
  <c r="J102" i="18"/>
  <c r="K102" i="18"/>
  <c r="L102" i="18"/>
  <c r="M102" i="18"/>
  <c r="H103" i="18"/>
  <c r="I103" i="18"/>
  <c r="J103" i="18"/>
  <c r="K103" i="18"/>
  <c r="L103" i="18"/>
  <c r="M103" i="18"/>
  <c r="H104" i="18"/>
  <c r="I104" i="18"/>
  <c r="J104" i="18"/>
  <c r="K104" i="18"/>
  <c r="L104" i="18"/>
  <c r="M104" i="18"/>
  <c r="H105" i="18"/>
  <c r="I105" i="18"/>
  <c r="J105" i="18"/>
  <c r="K105" i="18"/>
  <c r="L105" i="18"/>
  <c r="M105" i="18"/>
  <c r="H106" i="18"/>
  <c r="I106" i="18"/>
  <c r="J106" i="18"/>
  <c r="K106" i="18"/>
  <c r="L106" i="18"/>
  <c r="M106" i="18"/>
  <c r="H107" i="18"/>
  <c r="I107" i="18"/>
  <c r="J107" i="18"/>
  <c r="K107" i="18"/>
  <c r="L107" i="18"/>
  <c r="M107" i="18"/>
  <c r="H108" i="18"/>
  <c r="I108" i="18"/>
  <c r="J108" i="18"/>
  <c r="K108" i="18"/>
  <c r="L108" i="18"/>
  <c r="M108" i="18"/>
  <c r="H109" i="18"/>
  <c r="I109" i="18"/>
  <c r="J109" i="18"/>
  <c r="K109" i="18"/>
  <c r="L109" i="18"/>
  <c r="M109" i="18"/>
  <c r="H117" i="18"/>
  <c r="I117" i="18"/>
  <c r="J117" i="18"/>
  <c r="K117" i="18"/>
  <c r="L117" i="18"/>
  <c r="M117" i="18"/>
  <c r="H118" i="18"/>
  <c r="I118" i="18"/>
  <c r="J118" i="18"/>
  <c r="K118" i="18"/>
  <c r="L118" i="18"/>
  <c r="M118" i="18"/>
  <c r="H119" i="18"/>
  <c r="I119" i="18"/>
  <c r="J119" i="18"/>
  <c r="K119" i="18"/>
  <c r="L119" i="18"/>
  <c r="M119" i="18"/>
  <c r="H120" i="18"/>
  <c r="I120" i="18"/>
  <c r="J120" i="18"/>
  <c r="K120" i="18"/>
  <c r="L120" i="18"/>
  <c r="M120" i="18"/>
  <c r="H121" i="18"/>
  <c r="I121" i="18"/>
  <c r="J121" i="18"/>
  <c r="K121" i="18"/>
  <c r="L121" i="18"/>
  <c r="M121" i="18"/>
  <c r="H122" i="18"/>
  <c r="I122" i="18"/>
  <c r="J122" i="18"/>
  <c r="K122" i="18"/>
  <c r="L122" i="18"/>
  <c r="M122" i="18"/>
  <c r="H123" i="18"/>
  <c r="I123" i="18"/>
  <c r="J123" i="18"/>
  <c r="K123" i="18"/>
  <c r="L123" i="18"/>
  <c r="M123" i="18"/>
  <c r="H124" i="18"/>
  <c r="I124" i="18"/>
  <c r="J124" i="18"/>
  <c r="K124" i="18"/>
  <c r="L124" i="18"/>
  <c r="M124" i="18"/>
  <c r="H125" i="18"/>
  <c r="I125" i="18"/>
  <c r="J125" i="18"/>
  <c r="K125" i="18"/>
  <c r="L125" i="18"/>
  <c r="M125" i="18"/>
  <c r="H126" i="18"/>
  <c r="I126" i="18"/>
  <c r="J126" i="18"/>
  <c r="K126" i="18"/>
  <c r="L126" i="18"/>
  <c r="M126" i="18"/>
  <c r="H127" i="18"/>
  <c r="I127" i="18"/>
  <c r="J127" i="18"/>
  <c r="K127" i="18"/>
  <c r="L127" i="18"/>
  <c r="M127" i="18"/>
  <c r="H128" i="18"/>
  <c r="I128" i="18"/>
  <c r="J128" i="18"/>
  <c r="K128" i="18"/>
  <c r="L128" i="18"/>
  <c r="M128" i="18"/>
  <c r="H129" i="18"/>
  <c r="I129" i="18"/>
  <c r="J129" i="18"/>
  <c r="K129" i="18"/>
  <c r="L129" i="18"/>
  <c r="M129" i="18"/>
  <c r="H130" i="18"/>
  <c r="I130" i="18"/>
  <c r="J130" i="18"/>
  <c r="K130" i="18"/>
  <c r="L130" i="18"/>
  <c r="M130" i="18"/>
  <c r="H131" i="18"/>
  <c r="I131" i="18"/>
  <c r="J131" i="18"/>
  <c r="K131" i="18"/>
  <c r="L131" i="18"/>
  <c r="M131" i="18"/>
  <c r="H132" i="18"/>
  <c r="I132" i="18"/>
  <c r="J132" i="18"/>
  <c r="K132" i="18"/>
  <c r="L132" i="18"/>
  <c r="M132" i="18"/>
  <c r="H133" i="18"/>
  <c r="I133" i="18"/>
  <c r="J133" i="18"/>
  <c r="K133" i="18"/>
  <c r="L133" i="18"/>
  <c r="M133" i="18"/>
  <c r="H134" i="18"/>
  <c r="I134" i="18"/>
  <c r="J134" i="18"/>
  <c r="K134" i="18"/>
  <c r="L134" i="18"/>
  <c r="M134" i="18"/>
  <c r="H135" i="18"/>
  <c r="I135" i="18"/>
  <c r="J135" i="18"/>
  <c r="K135" i="18"/>
  <c r="L135" i="18"/>
  <c r="M135" i="18"/>
  <c r="H143" i="18"/>
  <c r="I143" i="18"/>
  <c r="J143" i="18"/>
  <c r="K143" i="18"/>
  <c r="L143" i="18"/>
  <c r="M143" i="18"/>
  <c r="H144" i="18"/>
  <c r="I144" i="18"/>
  <c r="J144" i="18"/>
  <c r="K144" i="18"/>
  <c r="L144" i="18"/>
  <c r="M144" i="18"/>
  <c r="H145" i="18"/>
  <c r="I145" i="18"/>
  <c r="J145" i="18"/>
  <c r="K145" i="18"/>
  <c r="L145" i="18"/>
  <c r="M145" i="18"/>
  <c r="H146" i="18"/>
  <c r="I146" i="18"/>
  <c r="J146" i="18"/>
  <c r="K146" i="18"/>
  <c r="L146" i="18"/>
  <c r="M146" i="18"/>
  <c r="H147" i="18"/>
  <c r="I147" i="18"/>
  <c r="J147" i="18"/>
  <c r="K147" i="18"/>
  <c r="L147" i="18"/>
  <c r="M147" i="18"/>
  <c r="H148" i="18"/>
  <c r="I148" i="18"/>
  <c r="J148" i="18"/>
  <c r="K148" i="18"/>
  <c r="L148" i="18"/>
  <c r="M148" i="18"/>
  <c r="H149" i="18"/>
  <c r="I149" i="18"/>
  <c r="J149" i="18"/>
  <c r="K149" i="18"/>
  <c r="L149" i="18"/>
  <c r="M149" i="18"/>
  <c r="H150" i="18"/>
  <c r="I150" i="18"/>
  <c r="J150" i="18"/>
  <c r="K150" i="18"/>
  <c r="L150" i="18"/>
  <c r="M150" i="18"/>
  <c r="H151" i="18"/>
  <c r="I151" i="18"/>
  <c r="J151" i="18"/>
  <c r="K151" i="18"/>
  <c r="L151" i="18"/>
  <c r="M151" i="18"/>
  <c r="H152" i="18"/>
  <c r="I152" i="18"/>
  <c r="J152" i="18"/>
  <c r="K152" i="18"/>
  <c r="L152" i="18"/>
  <c r="M152" i="18"/>
  <c r="H153" i="18"/>
  <c r="I153" i="18"/>
  <c r="J153" i="18"/>
  <c r="K153" i="18"/>
  <c r="L153" i="18"/>
  <c r="M153" i="18"/>
  <c r="H154" i="18"/>
  <c r="I154" i="18"/>
  <c r="J154" i="18"/>
  <c r="K154" i="18"/>
  <c r="L154" i="18"/>
  <c r="M154" i="18"/>
  <c r="H155" i="18"/>
  <c r="I155" i="18"/>
  <c r="J155" i="18"/>
  <c r="K155" i="18"/>
  <c r="L155" i="18"/>
  <c r="M155" i="18"/>
  <c r="H156" i="18"/>
  <c r="I156" i="18"/>
  <c r="J156" i="18"/>
  <c r="K156" i="18"/>
  <c r="L156" i="18"/>
  <c r="M156" i="18"/>
  <c r="H157" i="18"/>
  <c r="H158" i="18"/>
  <c r="H159" i="18"/>
  <c r="H160" i="18"/>
  <c r="H161" i="18"/>
  <c r="H169" i="18"/>
  <c r="I169" i="18"/>
  <c r="J169" i="18"/>
  <c r="K169" i="18"/>
  <c r="L169" i="18"/>
  <c r="M169" i="18"/>
  <c r="H170" i="18"/>
  <c r="I170" i="18"/>
  <c r="J170" i="18"/>
  <c r="K170" i="18"/>
  <c r="L170" i="18"/>
  <c r="M170" i="18"/>
  <c r="H171" i="18"/>
  <c r="I171" i="18"/>
  <c r="J171" i="18"/>
  <c r="K171" i="18"/>
  <c r="L171" i="18"/>
  <c r="M171" i="18"/>
  <c r="H172" i="18"/>
  <c r="I172" i="18"/>
  <c r="J172" i="18"/>
  <c r="K172" i="18"/>
  <c r="L172" i="18"/>
  <c r="M172" i="18"/>
  <c r="H173" i="18"/>
  <c r="I173" i="18"/>
  <c r="J173" i="18"/>
  <c r="K173" i="18"/>
  <c r="L173" i="18"/>
  <c r="M173" i="18"/>
  <c r="H174" i="18"/>
  <c r="I174" i="18"/>
  <c r="J174" i="18"/>
  <c r="K174" i="18"/>
  <c r="L174" i="18"/>
  <c r="M174" i="18"/>
  <c r="H175" i="18"/>
  <c r="I175" i="18"/>
  <c r="J175" i="18"/>
  <c r="K175" i="18"/>
  <c r="L175" i="18"/>
  <c r="M175" i="18"/>
  <c r="H176" i="18"/>
  <c r="I176" i="18"/>
  <c r="J176" i="18"/>
  <c r="K176" i="18"/>
  <c r="L176" i="18"/>
  <c r="M176" i="18"/>
  <c r="H177" i="18"/>
  <c r="I177" i="18"/>
  <c r="J177" i="18"/>
  <c r="K177" i="18"/>
  <c r="L177" i="18"/>
  <c r="M177" i="18"/>
  <c r="H178" i="18"/>
  <c r="I178" i="18"/>
  <c r="J178" i="18"/>
  <c r="K178" i="18"/>
  <c r="L178" i="18"/>
  <c r="M178" i="18"/>
  <c r="H179" i="18"/>
  <c r="I179" i="18"/>
  <c r="J179" i="18"/>
  <c r="K179" i="18"/>
  <c r="L179" i="18"/>
  <c r="M179" i="18"/>
  <c r="H180" i="18"/>
  <c r="I180" i="18"/>
  <c r="J180" i="18"/>
  <c r="K180" i="18"/>
  <c r="L180" i="18"/>
  <c r="M180" i="18"/>
  <c r="H181" i="18"/>
  <c r="I181" i="18"/>
  <c r="J181" i="18"/>
  <c r="K181" i="18"/>
  <c r="L181" i="18"/>
  <c r="M181" i="18"/>
  <c r="H182" i="18"/>
  <c r="I182" i="18"/>
  <c r="J182" i="18"/>
  <c r="K182" i="18"/>
  <c r="L182" i="18"/>
  <c r="M182" i="18"/>
  <c r="H183" i="18"/>
  <c r="H184" i="18"/>
  <c r="H185" i="18"/>
  <c r="H186" i="18"/>
  <c r="H187" i="18"/>
  <c r="B2" i="14"/>
  <c r="G2" i="14"/>
  <c r="G3" i="14"/>
  <c r="B5" i="14"/>
  <c r="L5" i="14"/>
  <c r="M5" i="14" s="1"/>
  <c r="B6" i="14"/>
  <c r="D9" i="14"/>
  <c r="F9" i="14"/>
  <c r="D10" i="14"/>
  <c r="F10" i="14"/>
  <c r="I10" i="14"/>
  <c r="J10" i="14"/>
  <c r="M25" i="14" s="1"/>
  <c r="L10" i="14"/>
  <c r="M10" i="14" s="1"/>
  <c r="F18" i="14"/>
  <c r="G18" i="14"/>
  <c r="H18" i="14"/>
  <c r="I18" i="14" s="1"/>
  <c r="K18" i="14"/>
  <c r="L18" i="14"/>
  <c r="M18" i="14"/>
  <c r="N18" i="14" s="1"/>
  <c r="F20" i="14"/>
  <c r="G20" i="14"/>
  <c r="K20" i="14"/>
  <c r="L20" i="14" s="1"/>
  <c r="F25" i="14"/>
  <c r="G25" i="14" s="1"/>
  <c r="H25" i="14"/>
  <c r="I25" i="14"/>
  <c r="K25" i="14"/>
  <c r="L25" i="14" s="1"/>
  <c r="F27" i="14"/>
  <c r="G27" i="14" s="1"/>
  <c r="B1" i="13"/>
  <c r="C18" i="13"/>
  <c r="C22" i="13"/>
  <c r="C26" i="13"/>
  <c r="C30" i="13"/>
  <c r="C34" i="13"/>
  <c r="C38" i="13"/>
  <c r="C42" i="13"/>
  <c r="C46" i="13"/>
  <c r="C50" i="13"/>
  <c r="C54" i="13"/>
  <c r="C58" i="13"/>
  <c r="C62" i="13"/>
  <c r="B1" i="5"/>
  <c r="I19" i="5"/>
  <c r="J19" i="5" s="1"/>
  <c r="K19" i="5"/>
  <c r="I20" i="5"/>
  <c r="J20" i="5"/>
  <c r="K20" i="5"/>
  <c r="I21" i="5"/>
  <c r="J21" i="5"/>
  <c r="K21" i="5"/>
  <c r="I22" i="5"/>
  <c r="J22" i="5"/>
  <c r="K22" i="5"/>
  <c r="I24" i="5"/>
  <c r="J24" i="5" s="1"/>
  <c r="K24" i="5"/>
  <c r="I25" i="5"/>
  <c r="J25" i="5"/>
  <c r="K25" i="5"/>
  <c r="I26" i="5"/>
  <c r="J26" i="5"/>
  <c r="K26" i="5"/>
  <c r="I27" i="5"/>
  <c r="J27" i="5"/>
  <c r="K27" i="5"/>
  <c r="I29" i="5"/>
  <c r="J29" i="5" s="1"/>
  <c r="K29" i="5"/>
  <c r="I30" i="5"/>
  <c r="J30" i="5"/>
  <c r="K30" i="5"/>
  <c r="I31" i="5"/>
  <c r="J31" i="5"/>
  <c r="K31" i="5"/>
  <c r="I32" i="5"/>
  <c r="J32" i="5"/>
  <c r="K32" i="5"/>
  <c r="I34" i="5"/>
  <c r="J34" i="5" s="1"/>
  <c r="K34" i="5"/>
  <c r="I35" i="5"/>
  <c r="J35" i="5"/>
  <c r="K35" i="5"/>
  <c r="I37" i="5"/>
  <c r="J37" i="5"/>
  <c r="K37" i="5"/>
  <c r="B1" i="2"/>
  <c r="K19" i="2"/>
  <c r="L19" i="2"/>
  <c r="M19" i="2"/>
  <c r="K21" i="2"/>
  <c r="L21" i="2"/>
  <c r="M21" i="2"/>
  <c r="K22" i="2"/>
  <c r="L22" i="2" s="1"/>
  <c r="M22" i="2"/>
  <c r="K23" i="2"/>
  <c r="L23" i="2"/>
  <c r="M23" i="2"/>
  <c r="K25" i="2"/>
  <c r="L25" i="2"/>
  <c r="M25" i="2"/>
  <c r="K26" i="2"/>
  <c r="L26" i="2"/>
  <c r="M26" i="2"/>
  <c r="K27" i="2"/>
  <c r="L27" i="2" s="1"/>
  <c r="M27" i="2"/>
  <c r="K29" i="2"/>
  <c r="L29" i="2"/>
  <c r="M29" i="2"/>
  <c r="K31" i="2"/>
  <c r="L31" i="2"/>
  <c r="M31" i="2"/>
  <c r="K33" i="2"/>
  <c r="L33" i="2"/>
  <c r="M33" i="2"/>
  <c r="B1" i="6"/>
  <c r="L19" i="6"/>
  <c r="M19" i="6"/>
  <c r="N19" i="6"/>
  <c r="L20" i="6"/>
  <c r="M20" i="6" s="1"/>
  <c r="N20" i="6"/>
  <c r="L21" i="6"/>
  <c r="M21" i="6"/>
  <c r="N21" i="6"/>
  <c r="L22" i="6"/>
  <c r="M22" i="6"/>
  <c r="N22" i="6"/>
  <c r="L24" i="6"/>
  <c r="M24" i="6"/>
  <c r="N24" i="6"/>
  <c r="L25" i="6"/>
  <c r="M25" i="6" s="1"/>
  <c r="N25" i="6"/>
  <c r="L26" i="6"/>
  <c r="M26" i="6"/>
  <c r="N26" i="6"/>
  <c r="L27" i="6"/>
  <c r="M27" i="6"/>
  <c r="N27" i="6"/>
  <c r="L29" i="6"/>
  <c r="M29" i="6"/>
  <c r="N29" i="6"/>
  <c r="L30" i="6"/>
  <c r="M30" i="6" s="1"/>
  <c r="N30" i="6"/>
  <c r="L31" i="6"/>
  <c r="M31" i="6"/>
  <c r="N31" i="6"/>
  <c r="L32" i="6"/>
  <c r="M32" i="6"/>
  <c r="N32" i="6"/>
  <c r="L33" i="6"/>
  <c r="M33" i="6"/>
  <c r="N33" i="6"/>
  <c r="L35" i="6"/>
  <c r="M35" i="6" s="1"/>
  <c r="N35" i="6"/>
  <c r="L37" i="6"/>
  <c r="M37" i="6"/>
  <c r="N37" i="6"/>
  <c r="L38" i="6"/>
  <c r="M38" i="6"/>
  <c r="N38" i="6"/>
  <c r="L39" i="6"/>
  <c r="M39" i="6"/>
  <c r="N39" i="6"/>
  <c r="L41" i="6"/>
  <c r="M41" i="6" s="1"/>
  <c r="N41" i="6"/>
  <c r="L42" i="6"/>
  <c r="M42" i="6"/>
  <c r="N42" i="6"/>
  <c r="L44" i="6"/>
  <c r="M44" i="6"/>
  <c r="N44" i="6"/>
  <c r="L46" i="6"/>
  <c r="M46" i="6"/>
  <c r="N46" i="6"/>
  <c r="L48" i="6"/>
  <c r="M48" i="6" s="1"/>
  <c r="N48" i="6"/>
  <c r="L49" i="6"/>
  <c r="M49" i="6"/>
  <c r="N49" i="6"/>
  <c r="L51" i="6"/>
  <c r="M51" i="6"/>
  <c r="N51" i="6"/>
  <c r="L52" i="6"/>
  <c r="M52" i="6"/>
  <c r="N52" i="6"/>
  <c r="L54" i="6"/>
  <c r="M54" i="6" s="1"/>
  <c r="N54" i="6"/>
  <c r="L55" i="6"/>
  <c r="M55" i="6"/>
  <c r="N55" i="6"/>
  <c r="L57" i="6"/>
  <c r="M57" i="6"/>
  <c r="N57" i="6"/>
  <c r="L59" i="6"/>
  <c r="M59" i="6"/>
  <c r="N59" i="6"/>
  <c r="L60" i="6"/>
  <c r="M60" i="6" s="1"/>
  <c r="N60" i="6"/>
  <c r="L62" i="6"/>
  <c r="M62" i="6"/>
  <c r="N62" i="6"/>
  <c r="L63" i="6"/>
  <c r="M63" i="6"/>
  <c r="N63" i="6"/>
  <c r="L65" i="6"/>
  <c r="M65" i="6"/>
  <c r="N65" i="6"/>
  <c r="L66" i="6"/>
  <c r="M66" i="6" s="1"/>
  <c r="N66" i="6"/>
  <c r="L68" i="6"/>
  <c r="M68" i="6"/>
  <c r="N68" i="6"/>
  <c r="K5" i="22"/>
  <c r="L5" i="22"/>
  <c r="F16" i="22"/>
  <c r="H16" i="22" s="1"/>
  <c r="G16" i="22"/>
  <c r="F19" i="22"/>
  <c r="G19" i="22" s="1"/>
  <c r="H19" i="22"/>
  <c r="F22" i="22"/>
  <c r="G22" i="22"/>
  <c r="H22" i="22" s="1"/>
  <c r="AV25" i="22"/>
  <c r="F25" i="22" s="1"/>
  <c r="AW25" i="22"/>
  <c r="G25" i="22" s="1"/>
  <c r="AV26" i="22"/>
  <c r="F26" i="22" s="1"/>
  <c r="H26" i="22" s="1"/>
  <c r="I26" i="22" s="1"/>
  <c r="F29" i="22"/>
  <c r="G29" i="22"/>
  <c r="H29" i="22"/>
  <c r="F32" i="22"/>
  <c r="H32" i="22" s="1"/>
  <c r="G32" i="22"/>
  <c r="O5" i="12"/>
  <c r="Z5" i="12" s="1"/>
  <c r="P5" i="12"/>
  <c r="S5" i="12"/>
  <c r="F5" i="12" s="1"/>
  <c r="V5" i="12"/>
  <c r="I5" i="12" s="1"/>
  <c r="G11" i="12"/>
  <c r="N11" i="12"/>
  <c r="G12" i="12"/>
  <c r="N12" i="12"/>
  <c r="G13" i="12"/>
  <c r="N13" i="12"/>
  <c r="N14" i="12"/>
  <c r="G15" i="12"/>
  <c r="N15" i="12"/>
  <c r="G16" i="12"/>
  <c r="N16" i="12"/>
  <c r="G17" i="12"/>
  <c r="N17" i="12"/>
  <c r="N18" i="12"/>
  <c r="G19" i="12"/>
  <c r="N19" i="12"/>
  <c r="G20" i="12"/>
  <c r="N20" i="12"/>
  <c r="G21" i="12"/>
  <c r="N21" i="12"/>
  <c r="N22" i="12"/>
  <c r="G23" i="12"/>
  <c r="N23" i="12"/>
  <c r="G24" i="12"/>
  <c r="N24" i="12"/>
  <c r="G25" i="12"/>
  <c r="N25" i="12"/>
  <c r="G26" i="12"/>
  <c r="N26" i="12"/>
  <c r="G27" i="12"/>
  <c r="N27" i="12"/>
  <c r="N28" i="12"/>
  <c r="G29" i="12"/>
  <c r="N29" i="12"/>
  <c r="G30" i="12"/>
  <c r="N30" i="12"/>
  <c r="G31" i="12"/>
  <c r="N31" i="12"/>
  <c r="G32" i="12"/>
  <c r="N32" i="12"/>
  <c r="G33" i="12"/>
  <c r="N33" i="12"/>
  <c r="N34" i="12"/>
  <c r="G35" i="12"/>
  <c r="N35" i="12"/>
  <c r="G36" i="12"/>
  <c r="G37" i="12"/>
  <c r="N37" i="12"/>
  <c r="G38" i="12"/>
  <c r="N38" i="12"/>
  <c r="G39" i="12"/>
  <c r="N39" i="12"/>
  <c r="N40" i="12"/>
  <c r="G41" i="12"/>
  <c r="N41" i="12"/>
  <c r="G42" i="12"/>
  <c r="N42" i="12"/>
  <c r="G43" i="12"/>
  <c r="N43" i="12"/>
  <c r="G44" i="12"/>
  <c r="N44" i="12"/>
  <c r="G45" i="12"/>
  <c r="N45" i="12"/>
  <c r="N46" i="12"/>
  <c r="G47" i="12"/>
  <c r="N47" i="12"/>
  <c r="G48" i="12"/>
  <c r="N48" i="12"/>
  <c r="G49" i="12"/>
  <c r="N49" i="12"/>
  <c r="G50" i="12"/>
  <c r="N50" i="12"/>
  <c r="G51" i="12"/>
  <c r="N51" i="12"/>
  <c r="N52" i="12"/>
  <c r="G53" i="12"/>
  <c r="N53" i="12"/>
  <c r="G54" i="12"/>
  <c r="N54" i="12"/>
  <c r="G55" i="12"/>
  <c r="N55" i="12"/>
  <c r="G56" i="12"/>
  <c r="N56" i="12"/>
  <c r="G57" i="12"/>
  <c r="N57" i="12"/>
  <c r="G58" i="12"/>
  <c r="N58" i="12"/>
  <c r="N59" i="12"/>
  <c r="G60" i="12"/>
  <c r="N60" i="12"/>
  <c r="G61" i="12"/>
  <c r="N61" i="12"/>
  <c r="G62" i="12"/>
  <c r="N62" i="12"/>
  <c r="G63" i="12"/>
  <c r="N63" i="12"/>
  <c r="G64" i="12"/>
  <c r="N65" i="12"/>
  <c r="G66" i="12"/>
  <c r="N66" i="12"/>
  <c r="G67" i="12"/>
  <c r="N67" i="12"/>
  <c r="G68" i="12"/>
  <c r="N68" i="12"/>
  <c r="G69" i="12"/>
  <c r="N69" i="12"/>
  <c r="G70" i="12"/>
  <c r="N70" i="12"/>
  <c r="G71" i="12"/>
  <c r="N71" i="12"/>
  <c r="G72" i="12"/>
  <c r="N72" i="12"/>
  <c r="G73" i="12"/>
  <c r="N73" i="12"/>
  <c r="G74" i="12"/>
  <c r="N74" i="12"/>
  <c r="G75" i="12"/>
  <c r="N75" i="12"/>
  <c r="N76" i="12"/>
  <c r="G77" i="12"/>
  <c r="N77" i="12"/>
  <c r="G78" i="12"/>
  <c r="N78" i="12"/>
  <c r="G79" i="12"/>
  <c r="N79" i="12"/>
  <c r="G80" i="12"/>
  <c r="N80" i="12"/>
  <c r="G81" i="12"/>
  <c r="N81" i="12"/>
  <c r="G82" i="12"/>
  <c r="N82" i="12"/>
  <c r="G83" i="12"/>
  <c r="N83" i="12"/>
  <c r="G84" i="12"/>
  <c r="N84" i="12"/>
  <c r="G85" i="12"/>
  <c r="N85" i="12"/>
  <c r="N86" i="12"/>
  <c r="G87" i="12"/>
  <c r="N87" i="12"/>
  <c r="G88" i="12"/>
  <c r="N88" i="12"/>
  <c r="G89" i="12"/>
  <c r="N89" i="12"/>
  <c r="G90" i="12"/>
  <c r="G91" i="12"/>
  <c r="N91" i="12"/>
  <c r="G92" i="12"/>
  <c r="N92" i="12"/>
  <c r="G93" i="12"/>
  <c r="N93" i="12"/>
  <c r="G94" i="12"/>
  <c r="N94" i="12"/>
  <c r="G95" i="12"/>
  <c r="N95" i="12"/>
  <c r="G96" i="12"/>
  <c r="N96" i="12"/>
  <c r="G97" i="12"/>
  <c r="N97" i="12"/>
  <c r="G98" i="12"/>
  <c r="N98" i="12"/>
  <c r="G99" i="12"/>
  <c r="N99" i="12"/>
  <c r="G100" i="12"/>
  <c r="N100" i="12"/>
  <c r="N101" i="12"/>
  <c r="G102" i="12"/>
  <c r="N102" i="12"/>
  <c r="G103" i="12"/>
  <c r="N103" i="12"/>
  <c r="G104" i="12"/>
  <c r="N104" i="12"/>
  <c r="G105" i="12"/>
  <c r="N105" i="12"/>
  <c r="G106" i="12"/>
  <c r="N106" i="12"/>
  <c r="G107" i="12"/>
  <c r="N107" i="12"/>
  <c r="G108" i="12"/>
  <c r="N108" i="12"/>
  <c r="G109" i="12"/>
  <c r="N109" i="12"/>
  <c r="G110" i="12"/>
  <c r="N110" i="12"/>
  <c r="G111" i="12"/>
  <c r="N111" i="12"/>
  <c r="G112" i="12"/>
  <c r="N112" i="12"/>
  <c r="G113" i="12"/>
  <c r="N113" i="12"/>
  <c r="N114" i="12"/>
  <c r="G115" i="12"/>
  <c r="N115" i="12"/>
  <c r="G116" i="12"/>
  <c r="G117" i="12"/>
  <c r="N117" i="12"/>
  <c r="G118" i="12"/>
  <c r="N118" i="12"/>
  <c r="G119" i="12"/>
  <c r="N119" i="12"/>
  <c r="G120" i="12"/>
  <c r="N120" i="12"/>
  <c r="G121" i="12"/>
  <c r="N121" i="12"/>
  <c r="G122" i="12"/>
  <c r="N122" i="12"/>
  <c r="G123" i="12"/>
  <c r="N123" i="12"/>
  <c r="G124" i="12"/>
  <c r="N124" i="12"/>
  <c r="G125" i="12"/>
  <c r="N125" i="12"/>
  <c r="G126" i="12"/>
  <c r="N126" i="12"/>
  <c r="G127" i="12"/>
  <c r="N127" i="12"/>
  <c r="G128" i="12"/>
  <c r="N128" i="12"/>
  <c r="G129" i="12"/>
  <c r="N129" i="12"/>
  <c r="G130" i="12"/>
  <c r="N130" i="12"/>
  <c r="G131" i="12"/>
  <c r="N131" i="12"/>
  <c r="N132" i="12"/>
  <c r="G133" i="12"/>
  <c r="N133" i="12"/>
  <c r="G134" i="12"/>
  <c r="N134" i="12"/>
  <c r="G135" i="12"/>
  <c r="N135" i="12"/>
  <c r="G136" i="12"/>
  <c r="G137" i="12"/>
  <c r="N137" i="12"/>
  <c r="G138" i="12"/>
  <c r="N138" i="12"/>
  <c r="G139" i="12"/>
  <c r="N139" i="12"/>
  <c r="G140" i="12"/>
  <c r="N140" i="12"/>
  <c r="G141" i="12"/>
  <c r="N141" i="12"/>
  <c r="G142" i="12"/>
  <c r="N142" i="12"/>
  <c r="G143" i="12"/>
  <c r="N143" i="12"/>
  <c r="G144" i="12"/>
  <c r="N144" i="12"/>
  <c r="G145" i="12"/>
  <c r="N145" i="12"/>
  <c r="G146" i="12"/>
  <c r="N146" i="12"/>
  <c r="G147" i="12"/>
  <c r="N147" i="12"/>
  <c r="G148" i="12"/>
  <c r="N148" i="12"/>
  <c r="G149" i="12"/>
  <c r="N149" i="12"/>
  <c r="G150" i="12"/>
  <c r="N150" i="12"/>
  <c r="G151" i="12"/>
  <c r="N151" i="12"/>
  <c r="G152" i="12"/>
  <c r="N152" i="12"/>
  <c r="G153" i="12"/>
  <c r="N153" i="12"/>
  <c r="G154" i="12"/>
  <c r="N154" i="12"/>
  <c r="G155" i="12"/>
  <c r="N155" i="12"/>
  <c r="G156" i="12"/>
  <c r="N156" i="12"/>
  <c r="N157" i="12"/>
  <c r="G158" i="12"/>
  <c r="N158" i="12"/>
  <c r="G159" i="12"/>
  <c r="N159" i="12"/>
  <c r="G160" i="12"/>
  <c r="N160" i="12"/>
  <c r="G161" i="12"/>
  <c r="N161" i="12"/>
  <c r="G162" i="12"/>
  <c r="N162" i="12"/>
  <c r="G163" i="12"/>
  <c r="N163" i="12"/>
  <c r="G164" i="12"/>
  <c r="G165" i="12"/>
  <c r="N165" i="12"/>
  <c r="G166" i="12"/>
  <c r="N166" i="12"/>
  <c r="G167" i="12"/>
  <c r="N167" i="12"/>
  <c r="G168" i="12"/>
  <c r="N168" i="12"/>
  <c r="G169" i="12"/>
  <c r="N169" i="12"/>
  <c r="G170" i="12"/>
  <c r="N170" i="12"/>
  <c r="G171" i="12"/>
  <c r="N171" i="12"/>
  <c r="G172" i="12"/>
  <c r="N172" i="12"/>
  <c r="G173" i="12"/>
  <c r="N173" i="12"/>
  <c r="G174" i="12"/>
  <c r="N174" i="12"/>
  <c r="G175" i="12"/>
  <c r="N175" i="12"/>
  <c r="G176" i="12"/>
  <c r="N176" i="12"/>
  <c r="G177" i="12"/>
  <c r="N177" i="12"/>
  <c r="G178" i="12"/>
  <c r="N178" i="12"/>
  <c r="G179" i="12"/>
  <c r="N179" i="12"/>
  <c r="N180" i="12"/>
  <c r="G181" i="12"/>
  <c r="N181" i="12"/>
  <c r="G182" i="12"/>
  <c r="N182" i="12"/>
  <c r="G183" i="12"/>
  <c r="G184" i="12"/>
  <c r="N184" i="12"/>
  <c r="G185" i="12"/>
  <c r="N185" i="12"/>
  <c r="G186" i="12"/>
  <c r="N186" i="12"/>
  <c r="G187" i="12"/>
  <c r="N187" i="12"/>
  <c r="G188" i="12"/>
  <c r="N188" i="12"/>
  <c r="G189" i="12"/>
  <c r="N189" i="12"/>
  <c r="G190" i="12"/>
  <c r="N190" i="12"/>
  <c r="G191" i="12"/>
  <c r="N191" i="12"/>
  <c r="G192" i="12"/>
  <c r="N192" i="12"/>
  <c r="G193" i="12"/>
  <c r="N193" i="12"/>
  <c r="G194" i="12"/>
  <c r="N194" i="12"/>
  <c r="G195" i="12"/>
  <c r="N195" i="12"/>
  <c r="G196" i="12"/>
  <c r="N196" i="12"/>
  <c r="G197" i="12"/>
  <c r="N197" i="12"/>
  <c r="G198" i="12"/>
  <c r="N198" i="12"/>
  <c r="G199" i="12"/>
  <c r="N199" i="12"/>
  <c r="G200" i="12"/>
  <c r="N200" i="12"/>
  <c r="G201" i="12"/>
  <c r="N201" i="12"/>
  <c r="G202" i="12"/>
  <c r="N202" i="12"/>
  <c r="G203" i="12"/>
  <c r="G204" i="12"/>
  <c r="N204" i="12"/>
  <c r="G205" i="12"/>
  <c r="N205" i="12"/>
  <c r="G206" i="12"/>
  <c r="N206" i="12"/>
  <c r="G207" i="12"/>
  <c r="N207" i="12"/>
  <c r="G208" i="12"/>
  <c r="N208" i="12"/>
  <c r="G209" i="12"/>
  <c r="N209" i="12"/>
  <c r="N210" i="12"/>
  <c r="N211" i="12"/>
  <c r="N212" i="12"/>
  <c r="N213" i="12"/>
  <c r="N214" i="12"/>
  <c r="N215" i="12"/>
  <c r="N216" i="12"/>
  <c r="N217" i="12"/>
  <c r="N218" i="12"/>
  <c r="N219" i="12"/>
  <c r="N221" i="12"/>
  <c r="N222" i="12"/>
  <c r="N223" i="12"/>
  <c r="N224" i="12"/>
  <c r="N225" i="12"/>
  <c r="N226" i="12"/>
  <c r="N227" i="12"/>
  <c r="N228" i="12"/>
  <c r="N229" i="12"/>
  <c r="N230" i="12"/>
  <c r="N231" i="12"/>
  <c r="N232" i="12"/>
  <c r="N233" i="12"/>
  <c r="N234" i="12"/>
  <c r="N235" i="12"/>
  <c r="N236" i="12"/>
  <c r="N238" i="12"/>
  <c r="N239" i="12"/>
  <c r="N240" i="12"/>
  <c r="N241" i="12"/>
  <c r="N242" i="12"/>
  <c r="N243" i="12"/>
  <c r="N244" i="12"/>
  <c r="N245" i="12"/>
  <c r="N246" i="12"/>
  <c r="N247" i="12"/>
  <c r="N248" i="12"/>
  <c r="N249" i="12"/>
  <c r="N250" i="12"/>
  <c r="N251" i="12"/>
  <c r="N252" i="12"/>
  <c r="N253" i="12"/>
  <c r="N254" i="12"/>
  <c r="N255" i="12"/>
  <c r="N256" i="12"/>
  <c r="N258" i="12"/>
  <c r="N259" i="12"/>
  <c r="N260" i="12"/>
  <c r="N261" i="12"/>
  <c r="N262" i="12"/>
  <c r="N263" i="12"/>
  <c r="N264" i="12"/>
  <c r="N265" i="12"/>
  <c r="N266" i="12"/>
  <c r="N267" i="12"/>
  <c r="N268" i="12"/>
  <c r="L4" i="21"/>
  <c r="M4" i="21"/>
  <c r="F17" i="21"/>
  <c r="I17" i="21" s="1"/>
  <c r="H17" i="21"/>
  <c r="F20" i="21"/>
  <c r="H20" i="21"/>
  <c r="I20" i="21"/>
  <c r="F23" i="21"/>
  <c r="H23" i="21"/>
  <c r="I23" i="21"/>
  <c r="F26" i="21"/>
  <c r="H26" i="21"/>
  <c r="I26" i="21"/>
  <c r="F29" i="21"/>
  <c r="H29" i="21"/>
  <c r="I29" i="21"/>
  <c r="F32" i="21"/>
  <c r="H32" i="21"/>
  <c r="I32" i="21"/>
  <c r="F35" i="21"/>
  <c r="H35" i="21"/>
  <c r="I35" i="21"/>
  <c r="F38" i="21"/>
  <c r="H38" i="21"/>
  <c r="I38" i="21"/>
  <c r="F41" i="21"/>
  <c r="H41" i="21"/>
  <c r="I41" i="21"/>
  <c r="B1" i="4"/>
  <c r="L19" i="4"/>
  <c r="M19" i="4" s="1"/>
  <c r="N19" i="4"/>
  <c r="L20" i="4"/>
  <c r="M20" i="4"/>
  <c r="N20" i="4"/>
  <c r="L22" i="4"/>
  <c r="M22" i="4"/>
  <c r="N22" i="4"/>
  <c r="L23" i="4"/>
  <c r="M23" i="4" s="1"/>
  <c r="N23" i="4"/>
  <c r="L24" i="4"/>
  <c r="M24" i="4" s="1"/>
  <c r="N24" i="4"/>
  <c r="L26" i="4"/>
  <c r="M26" i="4"/>
  <c r="N26" i="4"/>
  <c r="L27" i="4"/>
  <c r="M27" i="4"/>
  <c r="N27" i="4"/>
  <c r="L29" i="4"/>
  <c r="M29" i="4" s="1"/>
  <c r="N29" i="4"/>
  <c r="L30" i="4"/>
  <c r="M30" i="4" s="1"/>
  <c r="N30" i="4"/>
  <c r="L32" i="4"/>
  <c r="M32" i="4"/>
  <c r="N32" i="4"/>
  <c r="L33" i="4"/>
  <c r="M33" i="4"/>
  <c r="N33" i="4"/>
  <c r="L35" i="4"/>
  <c r="M35" i="4" s="1"/>
  <c r="N35" i="4"/>
  <c r="L36" i="4"/>
  <c r="M36" i="4" s="1"/>
  <c r="N36" i="4"/>
  <c r="L38" i="4"/>
  <c r="M38" i="4"/>
  <c r="N38" i="4"/>
  <c r="L39" i="4"/>
  <c r="M39" i="4"/>
  <c r="N39" i="4"/>
  <c r="L41" i="4"/>
  <c r="M41" i="4" s="1"/>
  <c r="N41" i="4"/>
  <c r="L42" i="4"/>
  <c r="M42" i="4" s="1"/>
  <c r="N42" i="4"/>
  <c r="L44" i="4"/>
  <c r="M44" i="4"/>
  <c r="N44" i="4"/>
  <c r="L45" i="4"/>
  <c r="M45" i="4"/>
  <c r="N45" i="4"/>
  <c r="L47" i="4"/>
  <c r="M47" i="4" s="1"/>
  <c r="N47" i="4"/>
  <c r="L48" i="4"/>
  <c r="M48" i="4" s="1"/>
  <c r="N48" i="4"/>
  <c r="L50" i="4"/>
  <c r="M50" i="4"/>
  <c r="N50" i="4"/>
  <c r="L51" i="4"/>
  <c r="M51" i="4"/>
  <c r="N51" i="4"/>
  <c r="L53" i="4"/>
  <c r="M53" i="4" s="1"/>
  <c r="N53" i="4"/>
  <c r="L54" i="4"/>
  <c r="M54" i="4" s="1"/>
  <c r="N54" i="4"/>
  <c r="L56" i="4"/>
  <c r="M56" i="4"/>
  <c r="N56" i="4"/>
  <c r="L57" i="4"/>
  <c r="M57" i="4"/>
  <c r="N57" i="4"/>
  <c r="L59" i="4"/>
  <c r="M59" i="4" s="1"/>
  <c r="N59" i="4"/>
  <c r="L60" i="4"/>
  <c r="M60" i="4" s="1"/>
  <c r="N60" i="4"/>
  <c r="L62" i="4"/>
  <c r="M62" i="4"/>
  <c r="N62" i="4"/>
  <c r="L63" i="4"/>
  <c r="M63" i="4"/>
  <c r="N63" i="4"/>
  <c r="B1" i="10"/>
  <c r="L17" i="10"/>
  <c r="M17" i="10"/>
  <c r="N17" i="10"/>
  <c r="L18" i="10"/>
  <c r="M18" i="10" s="1"/>
  <c r="N18" i="10"/>
  <c r="L20" i="10"/>
  <c r="M20" i="10" s="1"/>
  <c r="N20" i="10"/>
  <c r="L21" i="10"/>
  <c r="M21" i="10"/>
  <c r="N21" i="10"/>
  <c r="L22" i="10"/>
  <c r="M22" i="10"/>
  <c r="N22" i="10"/>
  <c r="L24" i="10"/>
  <c r="M24" i="10" s="1"/>
  <c r="N24" i="10"/>
  <c r="L25" i="10"/>
  <c r="M25" i="10" s="1"/>
  <c r="N25" i="10"/>
  <c r="L27" i="10"/>
  <c r="M27" i="10"/>
  <c r="N27" i="10"/>
  <c r="L28" i="10"/>
  <c r="M28" i="10"/>
  <c r="N28" i="10"/>
  <c r="L30" i="10"/>
  <c r="M30" i="10" s="1"/>
  <c r="N30" i="10"/>
  <c r="L31" i="10"/>
  <c r="M31" i="10" s="1"/>
  <c r="N31" i="10"/>
  <c r="L33" i="10"/>
  <c r="M33" i="10"/>
  <c r="N33" i="10"/>
  <c r="L34" i="10"/>
  <c r="M34" i="10"/>
  <c r="N34" i="10"/>
  <c r="L36" i="10"/>
  <c r="M36" i="10" s="1"/>
  <c r="N36" i="10"/>
  <c r="L37" i="10"/>
  <c r="M37" i="10" s="1"/>
  <c r="N37" i="10"/>
  <c r="L39" i="10"/>
  <c r="M39" i="10"/>
  <c r="N39" i="10"/>
  <c r="L40" i="10"/>
  <c r="M40" i="10"/>
  <c r="N40" i="10"/>
  <c r="L42" i="10"/>
  <c r="M42" i="10" s="1"/>
  <c r="N42" i="10"/>
  <c r="L43" i="10"/>
  <c r="M43" i="10" s="1"/>
  <c r="N43" i="10"/>
  <c r="L45" i="10"/>
  <c r="M45" i="10"/>
  <c r="N45" i="10"/>
  <c r="L46" i="10"/>
  <c r="M46" i="10"/>
  <c r="N46" i="10"/>
  <c r="L48" i="10"/>
  <c r="M48" i="10" s="1"/>
  <c r="N48" i="10"/>
  <c r="L49" i="10"/>
  <c r="M49" i="10" s="1"/>
  <c r="N49" i="10"/>
  <c r="L51" i="10"/>
  <c r="M51" i="10"/>
  <c r="N51" i="10"/>
  <c r="L52" i="10"/>
  <c r="M52" i="10"/>
  <c r="N52" i="10"/>
  <c r="L54" i="10"/>
  <c r="M54" i="10" s="1"/>
  <c r="N54" i="10"/>
  <c r="L55" i="10"/>
  <c r="M55" i="10" s="1"/>
  <c r="N55" i="10"/>
  <c r="L57" i="10"/>
  <c r="M57" i="10"/>
  <c r="N57" i="10"/>
  <c r="L58" i="10"/>
  <c r="M58" i="10"/>
  <c r="N58" i="10"/>
  <c r="L60" i="10"/>
  <c r="M60" i="10" s="1"/>
  <c r="N60" i="10"/>
  <c r="L61" i="10"/>
  <c r="M61" i="10" s="1"/>
  <c r="I24" i="29"/>
  <c r="J24" i="29"/>
  <c r="O32" i="29"/>
  <c r="P32" i="29"/>
  <c r="U32" i="29" s="1"/>
  <c r="F30" i="29" s="1"/>
  <c r="R32" i="29"/>
  <c r="H29" i="29" s="1"/>
  <c r="T32" i="29"/>
  <c r="A66" i="17"/>
  <c r="B66" i="17"/>
  <c r="C66" i="17"/>
  <c r="F66" i="17"/>
  <c r="G66" i="17"/>
  <c r="H66" i="17"/>
  <c r="K66" i="17"/>
  <c r="L66" i="17"/>
  <c r="M66" i="17"/>
  <c r="P66" i="17"/>
  <c r="Q66" i="17"/>
  <c r="R66" i="17"/>
  <c r="A67" i="17"/>
  <c r="B67" i="17"/>
  <c r="C67" i="17"/>
  <c r="D67" i="17"/>
  <c r="E67" i="17"/>
  <c r="G67" i="17"/>
  <c r="H67" i="17"/>
  <c r="I67" i="17"/>
  <c r="J67" i="17"/>
  <c r="L67" i="17"/>
  <c r="M67" i="17"/>
  <c r="N67" i="17"/>
  <c r="O67" i="17"/>
  <c r="Q67" i="17"/>
  <c r="R67" i="17"/>
  <c r="S67" i="17"/>
  <c r="T67" i="17"/>
  <c r="A68" i="17"/>
  <c r="B68" i="17"/>
  <c r="C68" i="17"/>
  <c r="G68" i="17"/>
  <c r="H68" i="17"/>
  <c r="I68" i="17"/>
  <c r="J68" i="17"/>
  <c r="L68" i="17"/>
  <c r="M68" i="17"/>
  <c r="N68" i="17"/>
  <c r="O68" i="17"/>
  <c r="Q68" i="17"/>
  <c r="R68" i="17"/>
  <c r="S68" i="17"/>
  <c r="T68" i="17"/>
  <c r="A69" i="17"/>
  <c r="B69" i="17"/>
  <c r="C69" i="17"/>
  <c r="D69" i="17"/>
  <c r="E69" i="17"/>
  <c r="G69" i="17"/>
  <c r="H69" i="17"/>
  <c r="I69" i="17"/>
  <c r="J69" i="17"/>
  <c r="L69" i="17"/>
  <c r="M69" i="17"/>
  <c r="N69" i="17"/>
  <c r="O69" i="17"/>
  <c r="Q69" i="17"/>
  <c r="R69" i="17"/>
  <c r="S69" i="17"/>
  <c r="T69" i="17"/>
  <c r="A70" i="17"/>
  <c r="B70" i="17"/>
  <c r="C70" i="17"/>
  <c r="D70" i="17"/>
  <c r="E70" i="17"/>
  <c r="F70" i="17"/>
  <c r="G70" i="17"/>
  <c r="H70" i="17"/>
  <c r="I70" i="17"/>
  <c r="J70" i="17"/>
  <c r="K70" i="17"/>
  <c r="L70" i="17"/>
  <c r="M70" i="17"/>
  <c r="N70" i="17"/>
  <c r="O70" i="17"/>
  <c r="Q70" i="17"/>
  <c r="R70" i="17"/>
  <c r="S70" i="17"/>
  <c r="T70" i="17"/>
  <c r="A71" i="17"/>
  <c r="B71" i="17"/>
  <c r="C71" i="17"/>
  <c r="F71" i="17"/>
  <c r="G71" i="17"/>
  <c r="H71" i="17"/>
  <c r="K71" i="17"/>
  <c r="L71" i="17"/>
  <c r="M71" i="17"/>
  <c r="Q71" i="17"/>
  <c r="R71" i="17"/>
  <c r="S71" i="17"/>
  <c r="T71" i="17"/>
  <c r="B72" i="17"/>
  <c r="C72" i="17"/>
  <c r="D72" i="17"/>
  <c r="E72" i="17"/>
  <c r="G72" i="17"/>
  <c r="H72" i="17"/>
  <c r="I72" i="17"/>
  <c r="J72" i="17"/>
  <c r="L72" i="17"/>
  <c r="M72" i="17"/>
  <c r="N72" i="17"/>
  <c r="O72" i="17"/>
  <c r="P72" i="17"/>
  <c r="Q72" i="17"/>
  <c r="R72" i="17"/>
  <c r="S72" i="17"/>
  <c r="T72" i="17"/>
  <c r="B73" i="17"/>
  <c r="C73" i="17"/>
  <c r="D73" i="17"/>
  <c r="E73" i="17"/>
  <c r="G73" i="17"/>
  <c r="H73" i="17"/>
  <c r="I73" i="17"/>
  <c r="J73" i="17"/>
  <c r="L73" i="17"/>
  <c r="M73" i="17"/>
  <c r="N73" i="17"/>
  <c r="O73" i="17"/>
  <c r="P73" i="17"/>
  <c r="Q73" i="17"/>
  <c r="R73" i="17"/>
  <c r="A74" i="17"/>
  <c r="B74" i="17"/>
  <c r="C74" i="17"/>
  <c r="D74" i="17"/>
  <c r="E74" i="17"/>
  <c r="G74" i="17"/>
  <c r="H74" i="17"/>
  <c r="I74" i="17"/>
  <c r="J74" i="17"/>
  <c r="L74" i="17"/>
  <c r="M74" i="17"/>
  <c r="N74" i="17"/>
  <c r="O74" i="17"/>
  <c r="Q74" i="17"/>
  <c r="R74" i="17"/>
  <c r="S74" i="17"/>
  <c r="T74" i="17"/>
  <c r="A75" i="17"/>
  <c r="B75" i="17"/>
  <c r="C75" i="17"/>
  <c r="G75" i="17"/>
  <c r="H75" i="17"/>
  <c r="I75" i="17"/>
  <c r="J75" i="17"/>
  <c r="K75" i="17"/>
  <c r="L75" i="17"/>
  <c r="M75" i="17"/>
  <c r="N75" i="17"/>
  <c r="O75" i="17"/>
  <c r="Q75" i="17"/>
  <c r="R75" i="17"/>
  <c r="S75" i="17"/>
  <c r="T75" i="17"/>
  <c r="B76" i="17"/>
  <c r="C76" i="17"/>
  <c r="D76" i="17"/>
  <c r="E76" i="17"/>
  <c r="F76" i="17"/>
  <c r="G76" i="17"/>
  <c r="H76" i="17"/>
  <c r="I76" i="17"/>
  <c r="J76" i="17"/>
  <c r="K76" i="17"/>
  <c r="L76" i="17"/>
  <c r="M76" i="17"/>
  <c r="Q76" i="17"/>
  <c r="R76" i="17"/>
  <c r="S76" i="17"/>
  <c r="T76" i="17"/>
  <c r="B77" i="17"/>
  <c r="C77" i="17"/>
  <c r="D77" i="17"/>
  <c r="E77" i="17"/>
  <c r="F77" i="17"/>
  <c r="G77" i="17"/>
  <c r="H77" i="17"/>
  <c r="L77" i="17"/>
  <c r="M77" i="17"/>
  <c r="N77" i="17"/>
  <c r="O77" i="17"/>
  <c r="Q77" i="17"/>
  <c r="R77" i="17"/>
  <c r="S77" i="17"/>
  <c r="T77" i="17"/>
  <c r="B78" i="17"/>
  <c r="C78" i="17"/>
  <c r="D78" i="17"/>
  <c r="E78" i="17"/>
  <c r="G78" i="17"/>
  <c r="H78" i="17"/>
  <c r="I78" i="17"/>
  <c r="J78" i="17"/>
  <c r="L78" i="17"/>
  <c r="M78" i="17"/>
  <c r="N78" i="17"/>
  <c r="O78" i="17"/>
  <c r="Q78" i="17"/>
  <c r="R78" i="17"/>
  <c r="S78" i="17"/>
  <c r="T78" i="17"/>
  <c r="A79" i="17"/>
  <c r="B79" i="17"/>
  <c r="C79" i="17"/>
  <c r="D79" i="17"/>
  <c r="E79" i="17"/>
  <c r="G79" i="17"/>
  <c r="H79" i="17"/>
  <c r="I79" i="17"/>
  <c r="J79" i="17"/>
  <c r="L79" i="17"/>
  <c r="M79" i="17"/>
  <c r="N79" i="17"/>
  <c r="O79" i="17"/>
  <c r="P79" i="17"/>
  <c r="Q79" i="17"/>
  <c r="R79" i="17"/>
  <c r="S79" i="17"/>
  <c r="T79" i="17"/>
  <c r="A80" i="17"/>
  <c r="B80" i="17"/>
  <c r="C80" i="17"/>
  <c r="G80" i="17"/>
  <c r="H80" i="17"/>
  <c r="I80" i="17"/>
  <c r="J80" i="17"/>
  <c r="K80" i="17"/>
  <c r="L80" i="17"/>
  <c r="M80" i="17"/>
  <c r="N80" i="17"/>
  <c r="O80" i="17"/>
  <c r="P80" i="17"/>
  <c r="Q80" i="17"/>
  <c r="R80" i="17"/>
  <c r="B81" i="17"/>
  <c r="C81" i="17"/>
  <c r="D81" i="17"/>
  <c r="E81" i="17"/>
  <c r="G81" i="17"/>
  <c r="H81" i="17"/>
  <c r="I81" i="17"/>
  <c r="J81" i="17"/>
  <c r="K81" i="17"/>
  <c r="L81" i="17"/>
  <c r="M81" i="17"/>
  <c r="Q81" i="17"/>
  <c r="R81" i="17"/>
  <c r="S81" i="17"/>
  <c r="T81" i="17"/>
  <c r="B82" i="17"/>
  <c r="C82" i="17"/>
  <c r="D82" i="17"/>
  <c r="E82" i="17"/>
  <c r="F82" i="17"/>
  <c r="G82" i="17"/>
  <c r="H82" i="17"/>
  <c r="I82" i="17"/>
  <c r="J82" i="17"/>
  <c r="L82" i="17"/>
  <c r="M82" i="17"/>
  <c r="N82" i="17"/>
  <c r="O82" i="17"/>
  <c r="Q82" i="17"/>
  <c r="R82" i="17"/>
  <c r="S82" i="17"/>
  <c r="T82" i="17"/>
  <c r="B83" i="17"/>
  <c r="C83" i="17"/>
  <c r="D83" i="17"/>
  <c r="E83" i="17"/>
  <c r="F83" i="17"/>
  <c r="G83" i="17"/>
  <c r="H83" i="17"/>
  <c r="L83" i="17"/>
  <c r="M83" i="17"/>
  <c r="N83" i="17"/>
  <c r="O83" i="17"/>
  <c r="Q83" i="17"/>
  <c r="R83" i="17"/>
  <c r="S83" i="17"/>
  <c r="T83" i="17"/>
  <c r="A84" i="17"/>
  <c r="B84" i="17"/>
  <c r="C84" i="17"/>
  <c r="D84" i="17"/>
  <c r="E84" i="17"/>
  <c r="G84" i="17"/>
  <c r="H84" i="17"/>
  <c r="I84" i="17"/>
  <c r="J84" i="17"/>
  <c r="L84" i="17"/>
  <c r="M84" i="17"/>
  <c r="N84" i="17"/>
  <c r="O84" i="17"/>
  <c r="Q84" i="17"/>
  <c r="R84" i="17"/>
  <c r="S84" i="17"/>
  <c r="T84" i="17"/>
  <c r="A85" i="17"/>
  <c r="B85" i="17"/>
  <c r="C85" i="17"/>
  <c r="G85" i="17"/>
  <c r="H85" i="17"/>
  <c r="I85" i="17"/>
  <c r="J85" i="17"/>
  <c r="L85" i="17"/>
  <c r="M85" i="17"/>
  <c r="N85" i="17"/>
  <c r="O85" i="17"/>
  <c r="P85" i="17"/>
  <c r="Q85" i="17"/>
  <c r="R85" i="17"/>
  <c r="S85" i="17"/>
  <c r="T85" i="17"/>
  <c r="B86" i="17"/>
  <c r="C86" i="17"/>
  <c r="D86" i="17"/>
  <c r="E86" i="17"/>
  <c r="G86" i="17"/>
  <c r="H86" i="17"/>
  <c r="I86" i="17"/>
  <c r="J86" i="17"/>
  <c r="K86" i="17"/>
  <c r="L86" i="17"/>
  <c r="M86" i="17"/>
  <c r="N86" i="17"/>
  <c r="O86" i="17"/>
  <c r="P86" i="17"/>
  <c r="Q86" i="17"/>
  <c r="R86" i="17"/>
  <c r="B87" i="17"/>
  <c r="C87" i="17"/>
  <c r="D87" i="17"/>
  <c r="E87" i="17"/>
  <c r="G87" i="17"/>
  <c r="H87" i="17"/>
  <c r="I87" i="17"/>
  <c r="J87" i="17"/>
  <c r="K87" i="17"/>
  <c r="L87" i="17"/>
  <c r="M87" i="17"/>
  <c r="Q87" i="17"/>
  <c r="R87" i="17"/>
  <c r="S87" i="17"/>
  <c r="T87" i="17"/>
  <c r="B88" i="17"/>
  <c r="C88" i="17"/>
  <c r="D88" i="17"/>
  <c r="E88" i="17"/>
  <c r="F88" i="17"/>
  <c r="G88" i="17"/>
  <c r="H88" i="17"/>
  <c r="I88" i="17"/>
  <c r="J88" i="17"/>
  <c r="L88" i="17"/>
  <c r="M88" i="17"/>
  <c r="N88" i="17"/>
  <c r="O88" i="17"/>
  <c r="Q88" i="17"/>
  <c r="R88" i="17"/>
  <c r="S88" i="17"/>
  <c r="T88" i="17"/>
  <c r="A89" i="17"/>
  <c r="B89" i="17"/>
  <c r="C89" i="17"/>
  <c r="D89" i="17"/>
  <c r="E89" i="17"/>
  <c r="F89" i="17"/>
  <c r="G89" i="17"/>
  <c r="H89" i="17"/>
  <c r="L89" i="17"/>
  <c r="M89" i="17"/>
  <c r="N89" i="17"/>
  <c r="O89" i="17"/>
  <c r="Q89" i="17"/>
  <c r="R89" i="17"/>
  <c r="S89" i="17"/>
  <c r="T89" i="17"/>
  <c r="A90" i="17"/>
  <c r="B90" i="17"/>
  <c r="C90" i="17"/>
  <c r="G90" i="17"/>
  <c r="H90" i="17"/>
  <c r="I90" i="17"/>
  <c r="J90" i="17"/>
  <c r="L90" i="17"/>
  <c r="M90" i="17"/>
  <c r="N90" i="17"/>
  <c r="O90" i="17"/>
  <c r="Q90" i="17"/>
  <c r="R90" i="17"/>
  <c r="S90" i="17"/>
  <c r="T90" i="17"/>
  <c r="B91" i="17"/>
  <c r="C91" i="17"/>
  <c r="D91" i="17"/>
  <c r="E91" i="17"/>
  <c r="G91" i="17"/>
  <c r="H91" i="17"/>
  <c r="I91" i="17"/>
  <c r="J91" i="17"/>
  <c r="L91" i="17"/>
  <c r="M91" i="17"/>
  <c r="N91" i="17"/>
  <c r="O91" i="17"/>
  <c r="P91" i="17"/>
  <c r="Q91" i="17"/>
  <c r="R91" i="17"/>
  <c r="S91" i="17"/>
  <c r="T91" i="17"/>
  <c r="B92" i="17"/>
  <c r="C92" i="17"/>
  <c r="D92" i="17"/>
  <c r="E92" i="17"/>
  <c r="G92" i="17"/>
  <c r="H92" i="17"/>
  <c r="I92" i="17"/>
  <c r="J92" i="17"/>
  <c r="K92" i="17"/>
  <c r="L92" i="17"/>
  <c r="M92" i="17"/>
  <c r="N92" i="17"/>
  <c r="O92" i="17"/>
  <c r="P92" i="17"/>
  <c r="Q92" i="17"/>
  <c r="R92" i="17"/>
  <c r="S92" i="17"/>
  <c r="B93" i="17"/>
  <c r="C93" i="17"/>
  <c r="D93" i="17"/>
  <c r="E93" i="17"/>
  <c r="F93" i="17"/>
  <c r="G93" i="17"/>
  <c r="H93" i="17"/>
  <c r="I93" i="17"/>
  <c r="J93" i="17"/>
  <c r="Q93" i="17"/>
  <c r="R93" i="17"/>
  <c r="S93" i="17"/>
  <c r="T93" i="17"/>
  <c r="A94" i="17"/>
  <c r="B94" i="17"/>
  <c r="C94" i="17"/>
  <c r="D94" i="17"/>
  <c r="E94" i="17"/>
  <c r="Q94" i="17"/>
  <c r="R94" i="17"/>
  <c r="S94" i="17"/>
  <c r="T94" i="17"/>
  <c r="Q95" i="17"/>
  <c r="R95" i="17"/>
  <c r="S95" i="17"/>
  <c r="T95" i="17"/>
  <c r="P96" i="17"/>
  <c r="Q96" i="17"/>
  <c r="R96" i="17"/>
  <c r="S96" i="17"/>
  <c r="T96" i="17"/>
  <c r="P97" i="17"/>
  <c r="Q97" i="17"/>
  <c r="R97" i="17"/>
  <c r="S97" i="17"/>
  <c r="Q98" i="17"/>
  <c r="R98" i="17"/>
  <c r="S98" i="17"/>
  <c r="T98" i="17"/>
  <c r="Q99" i="17"/>
  <c r="R99" i="17"/>
  <c r="S99" i="17"/>
  <c r="T99" i="17"/>
  <c r="P100" i="17"/>
  <c r="Q100" i="17"/>
  <c r="R100" i="17"/>
  <c r="S100" i="17"/>
  <c r="T100" i="17"/>
  <c r="B3" i="11"/>
  <c r="E19" i="11"/>
  <c r="F19" i="11"/>
  <c r="G19" i="11" s="1"/>
  <c r="L19" i="11"/>
  <c r="M19" i="11"/>
  <c r="N19" i="11"/>
  <c r="E20" i="11"/>
  <c r="F20" i="11"/>
  <c r="G20" i="11"/>
  <c r="L20" i="11"/>
  <c r="M20" i="11"/>
  <c r="N20" i="11" s="1"/>
  <c r="E21" i="11"/>
  <c r="F21" i="11"/>
  <c r="G21" i="11" s="1"/>
  <c r="L21" i="11"/>
  <c r="M21" i="11"/>
  <c r="N21" i="11"/>
  <c r="E22" i="11"/>
  <c r="F22" i="11"/>
  <c r="G22" i="11"/>
  <c r="L23" i="11"/>
  <c r="M23" i="11"/>
  <c r="N23" i="11" s="1"/>
  <c r="E24" i="11"/>
  <c r="F24" i="11"/>
  <c r="G24" i="11" s="1"/>
  <c r="L24" i="11"/>
  <c r="M24" i="11"/>
  <c r="N24" i="11"/>
  <c r="E25" i="11"/>
  <c r="F25" i="11"/>
  <c r="G25" i="11"/>
  <c r="L25" i="11"/>
  <c r="M25" i="11"/>
  <c r="N25" i="11" s="1"/>
  <c r="E26" i="11"/>
  <c r="F26" i="11"/>
  <c r="G26" i="11" s="1"/>
  <c r="E27" i="11"/>
  <c r="F27" i="11"/>
  <c r="G27" i="11"/>
  <c r="L27" i="11"/>
  <c r="M27" i="11"/>
  <c r="N27" i="11"/>
  <c r="L28" i="11"/>
  <c r="M28" i="11"/>
  <c r="N28" i="11" s="1"/>
  <c r="E29" i="11"/>
  <c r="F29" i="11"/>
  <c r="G29" i="11" s="1"/>
  <c r="L29" i="11"/>
  <c r="M29" i="11"/>
  <c r="N29" i="11"/>
  <c r="E30" i="11"/>
  <c r="F30" i="11"/>
  <c r="G30" i="11"/>
  <c r="E31" i="11"/>
  <c r="F31" i="11"/>
  <c r="G31" i="11" s="1"/>
  <c r="L31" i="11"/>
  <c r="M31" i="11"/>
  <c r="N31" i="11" s="1"/>
  <c r="E32" i="11"/>
  <c r="F32" i="11"/>
  <c r="G32" i="11"/>
  <c r="L32" i="11"/>
  <c r="M32" i="11"/>
  <c r="N32" i="11"/>
  <c r="E33" i="11"/>
  <c r="F33" i="11"/>
  <c r="G33" i="11" s="1"/>
  <c r="L33" i="11"/>
  <c r="M33" i="11"/>
  <c r="N33" i="11" s="1"/>
  <c r="E34" i="11"/>
  <c r="F34" i="11"/>
  <c r="G34" i="11"/>
  <c r="L35" i="11"/>
  <c r="M35" i="11"/>
  <c r="N35" i="11"/>
  <c r="E36" i="11"/>
  <c r="F36" i="11"/>
  <c r="G36" i="11" s="1"/>
  <c r="L36" i="11"/>
  <c r="M36" i="11"/>
  <c r="N36" i="11" s="1"/>
  <c r="E37" i="11"/>
  <c r="F37" i="11"/>
  <c r="G37" i="11"/>
  <c r="L37" i="11"/>
  <c r="M37" i="11"/>
  <c r="N37" i="11"/>
  <c r="E38" i="11"/>
  <c r="F38" i="11"/>
  <c r="G38" i="11" s="1"/>
  <c r="L38" i="11"/>
  <c r="M38" i="11"/>
  <c r="N38" i="11" s="1"/>
  <c r="E39" i="11"/>
  <c r="F39" i="11"/>
  <c r="G39" i="11"/>
  <c r="E40" i="11"/>
  <c r="F40" i="11"/>
  <c r="G40" i="11"/>
  <c r="L40" i="11"/>
  <c r="M40" i="11"/>
  <c r="N40" i="11" s="1"/>
  <c r="E41" i="11"/>
  <c r="F41" i="11"/>
  <c r="G41" i="11" s="1"/>
  <c r="L41" i="11"/>
  <c r="M41" i="11"/>
  <c r="N41" i="11"/>
  <c r="E42" i="11"/>
  <c r="F42" i="11"/>
  <c r="G42" i="11"/>
  <c r="L42" i="11"/>
  <c r="M42" i="11"/>
  <c r="N42" i="11" s="1"/>
  <c r="E44" i="11"/>
  <c r="F44" i="11"/>
  <c r="G44" i="11" s="1"/>
  <c r="L44" i="11"/>
  <c r="M44" i="11"/>
  <c r="N44" i="11"/>
  <c r="E45" i="11"/>
  <c r="F45" i="11"/>
  <c r="G45" i="11"/>
  <c r="L45" i="11"/>
  <c r="M45" i="11"/>
  <c r="N45" i="11" s="1"/>
  <c r="E46" i="11"/>
  <c r="F46" i="11"/>
  <c r="G46" i="11" s="1"/>
  <c r="L46" i="11"/>
  <c r="M46" i="11"/>
  <c r="N46" i="11"/>
  <c r="E47" i="11"/>
  <c r="F47" i="11"/>
  <c r="G47" i="11"/>
  <c r="E48" i="11"/>
  <c r="F48" i="11"/>
  <c r="G48" i="11" s="1"/>
  <c r="L48" i="11"/>
  <c r="M48" i="11"/>
  <c r="N48" i="11" s="1"/>
  <c r="E49" i="11"/>
  <c r="F49" i="11"/>
  <c r="G49" i="11"/>
  <c r="L49" i="11"/>
  <c r="M49" i="11"/>
  <c r="N49" i="11"/>
  <c r="E50" i="11"/>
  <c r="F50" i="11"/>
  <c r="G50" i="11" s="1"/>
  <c r="L50" i="11"/>
  <c r="M50" i="11"/>
  <c r="N50" i="11" s="1"/>
  <c r="L51" i="11"/>
  <c r="M51" i="11"/>
  <c r="N51" i="11"/>
  <c r="E52" i="11"/>
  <c r="F52" i="11"/>
  <c r="G52" i="11"/>
  <c r="E53" i="11"/>
  <c r="F53" i="11"/>
  <c r="G53" i="11" s="1"/>
  <c r="L53" i="11"/>
  <c r="M53" i="11"/>
  <c r="N53" i="11" s="1"/>
  <c r="E54" i="11"/>
  <c r="F54" i="11"/>
  <c r="G54" i="11"/>
  <c r="L54" i="11"/>
  <c r="M54" i="11"/>
  <c r="N54" i="11"/>
  <c r="E55" i="11"/>
  <c r="F55" i="11"/>
  <c r="G55" i="11" s="1"/>
  <c r="L55" i="11"/>
  <c r="M55" i="11"/>
  <c r="N55" i="11" s="1"/>
  <c r="E56" i="11"/>
  <c r="F56" i="11"/>
  <c r="G56" i="11"/>
  <c r="L56" i="11"/>
  <c r="M56" i="11"/>
  <c r="N56" i="11"/>
  <c r="E57" i="11"/>
  <c r="F57" i="11"/>
  <c r="G57" i="11" s="1"/>
  <c r="E58" i="11"/>
  <c r="F58" i="11"/>
  <c r="G58" i="11" s="1"/>
  <c r="L58" i="11"/>
  <c r="M58" i="11"/>
  <c r="N58" i="11"/>
  <c r="L59" i="11"/>
  <c r="M59" i="11"/>
  <c r="N59" i="11"/>
  <c r="E60" i="11"/>
  <c r="F60" i="11"/>
  <c r="G60" i="11" s="1"/>
  <c r="L60" i="11"/>
  <c r="M60" i="11"/>
  <c r="N60" i="11" s="1"/>
  <c r="E61" i="11"/>
  <c r="F61" i="11"/>
  <c r="G61" i="11"/>
  <c r="L61" i="11"/>
  <c r="M61" i="11"/>
  <c r="N61" i="11"/>
  <c r="E62" i="11"/>
  <c r="F62" i="11"/>
  <c r="G62" i="11" s="1"/>
  <c r="E63" i="11"/>
  <c r="F63" i="11"/>
  <c r="G63" i="11" s="1"/>
  <c r="L63" i="11"/>
  <c r="M63" i="11"/>
  <c r="N63" i="11"/>
  <c r="E64" i="11"/>
  <c r="F64" i="11"/>
  <c r="G64" i="11"/>
  <c r="L64" i="11"/>
  <c r="M64" i="11"/>
  <c r="N64" i="11" s="1"/>
  <c r="E65" i="11"/>
  <c r="F65" i="11"/>
  <c r="G65" i="11" s="1"/>
  <c r="L65" i="11"/>
  <c r="M65" i="11"/>
  <c r="N65" i="11"/>
  <c r="L66" i="11"/>
  <c r="M66" i="11"/>
  <c r="N66" i="11"/>
  <c r="E67" i="11"/>
  <c r="F67" i="11"/>
  <c r="G67" i="11" s="1"/>
  <c r="L67" i="11"/>
  <c r="M67" i="11"/>
  <c r="N67" i="11" s="1"/>
  <c r="E68" i="11"/>
  <c r="F68" i="11"/>
  <c r="G68" i="11"/>
  <c r="L68" i="11"/>
  <c r="M68" i="11"/>
  <c r="N68" i="11"/>
  <c r="E69" i="11"/>
  <c r="F69" i="11"/>
  <c r="G69" i="11" s="1"/>
  <c r="L69" i="11"/>
  <c r="M69" i="11"/>
  <c r="N69" i="11" s="1"/>
  <c r="E70" i="11"/>
  <c r="F70" i="11"/>
  <c r="G70" i="11"/>
  <c r="E71" i="11"/>
  <c r="F71" i="11"/>
  <c r="G71" i="11"/>
  <c r="L71" i="11"/>
  <c r="M71" i="11"/>
  <c r="N71" i="11" s="1"/>
  <c r="E72" i="11"/>
  <c r="F72" i="11"/>
  <c r="G72" i="11" s="1"/>
  <c r="L72" i="11"/>
  <c r="M72" i="11"/>
  <c r="N72" i="11"/>
  <c r="L73" i="11"/>
  <c r="M73" i="11"/>
  <c r="N73" i="11"/>
  <c r="E74" i="11"/>
  <c r="F74" i="11"/>
  <c r="G74" i="11" s="1"/>
  <c r="L74" i="11"/>
  <c r="M74" i="11"/>
  <c r="N74" i="11" s="1"/>
  <c r="E75" i="11"/>
  <c r="F75" i="11"/>
  <c r="G75" i="11"/>
  <c r="L75" i="11"/>
  <c r="M75" i="11"/>
  <c r="N75" i="11"/>
  <c r="E76" i="11"/>
  <c r="F76" i="11"/>
  <c r="G76" i="11" s="1"/>
  <c r="L76" i="11"/>
  <c r="M76" i="11"/>
  <c r="N76" i="11" s="1"/>
  <c r="E77" i="11"/>
  <c r="F77" i="11"/>
  <c r="G77" i="11"/>
  <c r="L77" i="11"/>
  <c r="M77" i="11"/>
  <c r="N77" i="11"/>
  <c r="E78" i="11"/>
  <c r="F78" i="11"/>
  <c r="G78" i="11" s="1"/>
  <c r="L79" i="11"/>
  <c r="M79" i="11"/>
  <c r="N79" i="11" s="1"/>
  <c r="E80" i="11"/>
  <c r="F80" i="11"/>
  <c r="G80" i="11"/>
  <c r="L80" i="11"/>
  <c r="M80" i="11"/>
  <c r="N80" i="11"/>
  <c r="E81" i="11"/>
  <c r="F81" i="11"/>
  <c r="G81" i="11" s="1"/>
  <c r="L81" i="11"/>
  <c r="M81" i="11"/>
  <c r="N81" i="11" s="1"/>
  <c r="L82" i="11"/>
  <c r="M82" i="11"/>
  <c r="N82" i="11"/>
  <c r="E83" i="11"/>
  <c r="F83" i="11"/>
  <c r="G83" i="11"/>
  <c r="L83" i="11"/>
  <c r="M83" i="11"/>
  <c r="N83" i="11" s="1"/>
  <c r="E84" i="11"/>
  <c r="F84" i="11"/>
  <c r="G84" i="11" s="1"/>
  <c r="L84" i="11"/>
  <c r="M84" i="11"/>
  <c r="N84" i="11"/>
  <c r="E85" i="11"/>
  <c r="F85" i="11"/>
  <c r="G85" i="11"/>
  <c r="L85" i="11"/>
  <c r="M85" i="11"/>
  <c r="N85" i="11" s="1"/>
  <c r="E86" i="11"/>
  <c r="F86" i="11"/>
  <c r="G86" i="11" s="1"/>
  <c r="E87" i="11"/>
  <c r="F87" i="11"/>
  <c r="G87" i="11"/>
  <c r="L87" i="11"/>
  <c r="M87" i="11"/>
  <c r="N87" i="11"/>
  <c r="L88" i="11"/>
  <c r="M88" i="11"/>
  <c r="N88" i="11" s="1"/>
  <c r="E89" i="11"/>
  <c r="F89" i="11"/>
  <c r="G89" i="11" s="1"/>
  <c r="E90" i="11"/>
  <c r="F90" i="11"/>
  <c r="G90" i="11"/>
  <c r="L90" i="11"/>
  <c r="M90" i="11"/>
  <c r="N90" i="11"/>
  <c r="E91" i="11"/>
  <c r="F91" i="11"/>
  <c r="G91" i="11" s="1"/>
  <c r="L91" i="11"/>
  <c r="M91" i="11"/>
  <c r="N91" i="11" s="1"/>
  <c r="L92" i="11"/>
  <c r="M92" i="11"/>
  <c r="N92" i="11"/>
  <c r="E93" i="11"/>
  <c r="F93" i="11"/>
  <c r="G93" i="11"/>
  <c r="L93" i="11"/>
  <c r="M93" i="11"/>
  <c r="N93" i="11" s="1"/>
  <c r="E94" i="11"/>
  <c r="F94" i="11"/>
  <c r="G94" i="11" s="1"/>
  <c r="L94" i="11"/>
  <c r="M94" i="11"/>
  <c r="N94" i="11"/>
  <c r="E95" i="11"/>
  <c r="F95" i="11"/>
  <c r="G95" i="11"/>
  <c r="L95" i="11"/>
  <c r="M95" i="11"/>
  <c r="N95" i="11" s="1"/>
  <c r="L96" i="11"/>
  <c r="M96" i="11"/>
  <c r="N96" i="11" s="1"/>
  <c r="E97" i="11"/>
  <c r="F97" i="11"/>
  <c r="G97" i="11"/>
  <c r="E98" i="11"/>
  <c r="F98" i="11"/>
  <c r="G98" i="11"/>
  <c r="L98" i="11"/>
  <c r="M98" i="11"/>
  <c r="N98" i="11" s="1"/>
  <c r="E99" i="11"/>
  <c r="F99" i="11"/>
  <c r="G99" i="11" s="1"/>
  <c r="L99" i="11"/>
  <c r="M99" i="11"/>
  <c r="N99" i="11"/>
  <c r="L100" i="11"/>
  <c r="M100" i="11"/>
  <c r="N100" i="11"/>
  <c r="E101" i="11"/>
  <c r="F101" i="11"/>
  <c r="G101" i="11" s="1"/>
  <c r="L101" i="11"/>
  <c r="M101" i="11"/>
  <c r="N101" i="11" s="1"/>
  <c r="E102" i="11"/>
  <c r="F102" i="11"/>
  <c r="G102" i="11"/>
  <c r="L102" i="11"/>
  <c r="M102" i="11"/>
  <c r="N102" i="11"/>
  <c r="E103" i="11"/>
  <c r="F103" i="11"/>
  <c r="G103" i="11" s="1"/>
  <c r="L103" i="11"/>
  <c r="M103" i="11"/>
  <c r="N103" i="11" s="1"/>
  <c r="L104" i="11"/>
  <c r="M104" i="11"/>
  <c r="N104" i="11"/>
  <c r="L106" i="11"/>
  <c r="M106" i="11"/>
  <c r="N106" i="11"/>
  <c r="L107" i="11"/>
  <c r="M107" i="11"/>
  <c r="N107" i="11" s="1"/>
  <c r="L108" i="11"/>
  <c r="M108" i="11"/>
  <c r="N108" i="11" s="1"/>
  <c r="L109" i="11"/>
  <c r="M109" i="11"/>
  <c r="N109" i="11"/>
  <c r="L110" i="11"/>
  <c r="M110" i="11"/>
  <c r="N110" i="11"/>
  <c r="L111" i="11"/>
  <c r="M111" i="11"/>
  <c r="N111" i="11" s="1"/>
  <c r="L112" i="11"/>
  <c r="M112" i="11"/>
  <c r="N112" i="11" s="1"/>
  <c r="L114" i="11"/>
  <c r="M114" i="11"/>
  <c r="N114" i="11"/>
  <c r="L115" i="11"/>
  <c r="M115" i="11"/>
  <c r="N115" i="11"/>
  <c r="L116" i="11"/>
  <c r="M116" i="11"/>
  <c r="N116" i="11" s="1"/>
  <c r="L117" i="11"/>
  <c r="M117" i="11"/>
  <c r="N117" i="11" s="1"/>
  <c r="L118" i="11"/>
  <c r="M118" i="11"/>
  <c r="N118" i="11"/>
  <c r="L119" i="11"/>
  <c r="M119" i="11"/>
  <c r="N119" i="11"/>
  <c r="L121" i="11"/>
  <c r="M121" i="11"/>
  <c r="N121" i="11" s="1"/>
  <c r="L122" i="11"/>
  <c r="M122" i="11"/>
  <c r="N122" i="11" s="1"/>
  <c r="L123" i="11"/>
  <c r="M123" i="11"/>
  <c r="N123" i="11"/>
  <c r="L124" i="11"/>
  <c r="M124" i="11"/>
  <c r="N124" i="11"/>
  <c r="L126" i="11"/>
  <c r="M126" i="11"/>
  <c r="N126" i="11" s="1"/>
  <c r="L127" i="11"/>
  <c r="M127" i="11"/>
  <c r="N127" i="11" s="1"/>
  <c r="L128" i="11"/>
  <c r="M128" i="11"/>
  <c r="N128" i="11"/>
  <c r="L129" i="11"/>
  <c r="M129" i="11"/>
  <c r="N129" i="11"/>
  <c r="L130" i="11"/>
  <c r="M130" i="11"/>
  <c r="N130" i="11" s="1"/>
  <c r="L131" i="11"/>
  <c r="M131" i="11"/>
  <c r="N131" i="11" s="1"/>
  <c r="L132" i="11"/>
  <c r="M132" i="11"/>
  <c r="N132" i="11"/>
  <c r="L134" i="11"/>
  <c r="M134" i="11"/>
  <c r="N134" i="11"/>
  <c r="L135" i="11"/>
  <c r="M135" i="11"/>
  <c r="N135" i="11" s="1"/>
  <c r="L136" i="11"/>
  <c r="M136" i="11"/>
  <c r="N136" i="11" s="1"/>
  <c r="L137" i="11"/>
  <c r="M137" i="11"/>
  <c r="N137" i="11"/>
  <c r="L138" i="11"/>
  <c r="M138" i="11"/>
  <c r="N138" i="11"/>
  <c r="L139" i="11"/>
  <c r="M139" i="11"/>
  <c r="N139" i="11" s="1"/>
  <c r="L140" i="11"/>
  <c r="M140" i="11"/>
  <c r="N140" i="11" s="1"/>
  <c r="L142" i="11"/>
  <c r="M142" i="11"/>
  <c r="N142" i="11"/>
  <c r="L143" i="11"/>
  <c r="M143" i="11"/>
  <c r="N143" i="11"/>
  <c r="L144" i="11"/>
  <c r="M144" i="11"/>
  <c r="N144" i="11" s="1"/>
  <c r="L145" i="11"/>
  <c r="M145" i="11"/>
  <c r="N145" i="11" s="1"/>
  <c r="L146" i="11"/>
  <c r="M146" i="11"/>
  <c r="N146" i="11"/>
  <c r="L147" i="11"/>
  <c r="M147" i="11"/>
  <c r="N147" i="11"/>
  <c r="L149" i="11"/>
  <c r="M149" i="11"/>
  <c r="N149" i="11" s="1"/>
  <c r="L150" i="11"/>
  <c r="M150" i="11"/>
  <c r="N150" i="11" s="1"/>
  <c r="L151" i="11"/>
  <c r="M151" i="11"/>
  <c r="N151" i="11"/>
  <c r="L152" i="11"/>
  <c r="M152" i="11"/>
  <c r="N152" i="11"/>
  <c r="L153" i="11"/>
  <c r="M153" i="11"/>
  <c r="N153" i="11" s="1"/>
  <c r="L155" i="11"/>
  <c r="M155" i="11"/>
  <c r="N155" i="11" s="1"/>
  <c r="L156" i="11"/>
  <c r="M156" i="11"/>
  <c r="N156" i="11"/>
  <c r="L157" i="11"/>
  <c r="M157" i="11"/>
  <c r="N157" i="11"/>
  <c r="L158" i="11"/>
  <c r="M158" i="11"/>
  <c r="N158" i="11" s="1"/>
  <c r="L159" i="11"/>
  <c r="M159" i="11"/>
  <c r="N159" i="11" s="1"/>
  <c r="L160" i="11"/>
  <c r="M160" i="11"/>
  <c r="N160" i="11"/>
  <c r="L162" i="11"/>
  <c r="M162" i="11"/>
  <c r="N162" i="11"/>
  <c r="L163" i="11"/>
  <c r="M163" i="11"/>
  <c r="N163" i="11" s="1"/>
  <c r="L164" i="11"/>
  <c r="M164" i="11"/>
  <c r="N164" i="11" s="1"/>
  <c r="L165" i="11"/>
  <c r="M165" i="11"/>
  <c r="N165" i="11"/>
  <c r="L166" i="11"/>
  <c r="M166" i="11"/>
  <c r="N166" i="11"/>
  <c r="L167" i="11"/>
  <c r="M167" i="11"/>
  <c r="N167" i="11" s="1"/>
  <c r="L169" i="11"/>
  <c r="M169" i="11"/>
  <c r="N169" i="11" s="1"/>
  <c r="L170" i="11"/>
  <c r="M170" i="11"/>
  <c r="N170" i="11"/>
  <c r="L171" i="11"/>
  <c r="M171" i="11"/>
  <c r="N171" i="11"/>
  <c r="L172" i="11"/>
  <c r="M172" i="11"/>
  <c r="N172" i="11" s="1"/>
  <c r="L173" i="11"/>
  <c r="M173" i="11"/>
  <c r="N173" i="11" s="1"/>
  <c r="L175" i="11"/>
  <c r="M175" i="11"/>
  <c r="N175" i="11"/>
  <c r="L176" i="11"/>
  <c r="M176" i="11"/>
  <c r="N176" i="11"/>
  <c r="L177" i="11"/>
  <c r="M177" i="11"/>
  <c r="N177" i="11" s="1"/>
  <c r="L178" i="11"/>
  <c r="M178" i="11"/>
  <c r="N178" i="11" s="1"/>
  <c r="L180" i="11"/>
  <c r="M180" i="11"/>
  <c r="N180" i="11"/>
  <c r="L181" i="11"/>
  <c r="M181" i="11"/>
  <c r="N181" i="11"/>
  <c r="L182" i="11"/>
  <c r="M182" i="11"/>
  <c r="N182" i="11" s="1"/>
  <c r="L183" i="11"/>
  <c r="M183" i="11"/>
  <c r="N183" i="11" s="1"/>
  <c r="L184" i="11"/>
  <c r="M184" i="11"/>
  <c r="N184" i="11"/>
  <c r="L186" i="11"/>
  <c r="M186" i="11"/>
  <c r="N186" i="11"/>
  <c r="L187" i="11"/>
  <c r="M187" i="11"/>
  <c r="N187" i="11" s="1"/>
  <c r="L188" i="11"/>
  <c r="M188" i="11"/>
  <c r="N188" i="11" s="1"/>
  <c r="L189" i="11"/>
  <c r="M189" i="11"/>
  <c r="N189" i="11"/>
  <c r="L190" i="11"/>
  <c r="M190" i="11"/>
  <c r="N190" i="11"/>
  <c r="L192" i="11"/>
  <c r="M192" i="11"/>
  <c r="N192" i="11" s="1"/>
  <c r="L193" i="11"/>
  <c r="M193" i="11"/>
  <c r="N193" i="11" s="1"/>
  <c r="L194" i="11"/>
  <c r="M194" i="11"/>
  <c r="N194" i="11"/>
  <c r="L195" i="11"/>
  <c r="M195" i="11"/>
  <c r="N195" i="11"/>
  <c r="L196" i="11"/>
  <c r="M196" i="11"/>
  <c r="N196" i="11" s="1"/>
  <c r="L198" i="11"/>
  <c r="M198" i="11"/>
  <c r="N198" i="11" s="1"/>
  <c r="L199" i="11"/>
  <c r="M199" i="11"/>
  <c r="N199" i="11"/>
  <c r="L201" i="11"/>
  <c r="M201" i="11"/>
  <c r="N201" i="11"/>
  <c r="L202" i="11"/>
  <c r="M202" i="11"/>
  <c r="N202" i="11" s="1"/>
  <c r="L203" i="11"/>
  <c r="M203" i="11"/>
  <c r="N203" i="11" s="1"/>
  <c r="L204" i="11"/>
  <c r="M204" i="11"/>
  <c r="N204" i="11"/>
  <c r="L205" i="11"/>
  <c r="M205" i="11"/>
  <c r="N205" i="11"/>
  <c r="L207" i="11"/>
  <c r="M207" i="11"/>
  <c r="N207" i="11" s="1"/>
  <c r="L208" i="11"/>
  <c r="M208" i="11"/>
  <c r="N208" i="11" s="1"/>
  <c r="L209" i="11"/>
  <c r="M209" i="11"/>
  <c r="N209" i="11"/>
  <c r="L210" i="11"/>
  <c r="M210" i="11"/>
  <c r="N210" i="11"/>
  <c r="L211" i="11"/>
  <c r="M211" i="11"/>
  <c r="N211" i="11" s="1"/>
  <c r="L213" i="11"/>
  <c r="M213" i="11"/>
  <c r="N213" i="11" s="1"/>
  <c r="L214" i="11"/>
  <c r="M214" i="11"/>
  <c r="N214" i="11"/>
  <c r="L215" i="11"/>
  <c r="M215" i="11"/>
  <c r="N215" i="11"/>
  <c r="L216" i="11"/>
  <c r="M216" i="11"/>
  <c r="N216" i="11" s="1"/>
  <c r="L218" i="11"/>
  <c r="M218" i="11"/>
  <c r="N218" i="11" s="1"/>
  <c r="L219" i="11"/>
  <c r="M219" i="11"/>
  <c r="N219" i="11"/>
  <c r="L220" i="11"/>
  <c r="M220" i="11"/>
  <c r="N220" i="11"/>
  <c r="L221" i="11"/>
  <c r="M221" i="11"/>
  <c r="N221" i="11" s="1"/>
  <c r="L223" i="11"/>
  <c r="M223" i="11"/>
  <c r="N223" i="11" s="1"/>
  <c r="L224" i="11"/>
  <c r="M224" i="11"/>
  <c r="N224" i="11"/>
  <c r="L225" i="11"/>
  <c r="M225" i="11"/>
  <c r="N225" i="11"/>
  <c r="L226" i="11"/>
  <c r="M226" i="11"/>
  <c r="N226" i="11" s="1"/>
  <c r="L228" i="11"/>
  <c r="M228" i="11"/>
  <c r="N228" i="11" s="1"/>
  <c r="L229" i="11"/>
  <c r="M229" i="11"/>
  <c r="N229" i="11"/>
  <c r="L230" i="11"/>
  <c r="M230" i="11"/>
  <c r="N230" i="11"/>
  <c r="L231" i="11"/>
  <c r="M231" i="11"/>
  <c r="N231" i="11" s="1"/>
  <c r="L232" i="11"/>
  <c r="M232" i="11"/>
  <c r="N232" i="11" s="1"/>
  <c r="L234" i="11"/>
  <c r="M234" i="11"/>
  <c r="N234" i="11"/>
  <c r="L235" i="11"/>
  <c r="M235" i="11"/>
  <c r="N235" i="11"/>
  <c r="L236" i="11"/>
  <c r="M236" i="11"/>
  <c r="N236" i="11" s="1"/>
  <c r="L238" i="11"/>
  <c r="M238" i="11"/>
  <c r="N238" i="11" s="1"/>
  <c r="L239" i="11"/>
  <c r="M239" i="11"/>
  <c r="N239" i="11"/>
  <c r="L240" i="11"/>
  <c r="M240" i="11"/>
  <c r="N240" i="11"/>
  <c r="L242" i="11"/>
  <c r="M242" i="11"/>
  <c r="N242" i="11" s="1"/>
  <c r="L243" i="11"/>
  <c r="M243" i="11"/>
  <c r="N243" i="11" s="1"/>
  <c r="L244" i="11"/>
  <c r="M244" i="11"/>
  <c r="N244" i="11"/>
  <c r="L246" i="11"/>
  <c r="M246" i="11"/>
  <c r="N246" i="11"/>
  <c r="L247" i="11"/>
  <c r="M247" i="11"/>
  <c r="N247" i="11" s="1"/>
  <c r="L249" i="11"/>
  <c r="M249" i="11"/>
  <c r="N249" i="11" s="1"/>
  <c r="L250" i="11"/>
  <c r="M250" i="11"/>
  <c r="N250" i="11"/>
  <c r="B1" i="28"/>
  <c r="O17" i="28"/>
  <c r="O18" i="28"/>
  <c r="O22" i="28"/>
  <c r="T22" i="28" s="1"/>
  <c r="H25" i="28"/>
  <c r="O25" i="28"/>
  <c r="R25" i="28" s="1"/>
  <c r="P25" i="28"/>
  <c r="T25" i="28"/>
  <c r="U25" i="28"/>
  <c r="H26" i="28"/>
  <c r="A28" i="28"/>
  <c r="A29" i="28"/>
  <c r="B1" i="1"/>
  <c r="K20" i="1"/>
  <c r="L20" i="1"/>
  <c r="M20" i="1"/>
  <c r="K21" i="1"/>
  <c r="L21" i="1" s="1"/>
  <c r="M21" i="1"/>
  <c r="K22" i="1"/>
  <c r="L22" i="1" s="1"/>
  <c r="M22" i="1"/>
  <c r="K23" i="1"/>
  <c r="L23" i="1"/>
  <c r="M23" i="1"/>
  <c r="K25" i="1"/>
  <c r="L25" i="1"/>
  <c r="M25" i="1"/>
  <c r="K26" i="1"/>
  <c r="L26" i="1" s="1"/>
  <c r="M26" i="1"/>
  <c r="K27" i="1"/>
  <c r="L27" i="1" s="1"/>
  <c r="M27" i="1"/>
  <c r="K28" i="1"/>
  <c r="L28" i="1"/>
  <c r="M28" i="1"/>
  <c r="K29" i="1"/>
  <c r="L29" i="1"/>
  <c r="M29" i="1"/>
  <c r="K30" i="1"/>
  <c r="L30" i="1" s="1"/>
  <c r="M30" i="1"/>
  <c r="K32" i="1"/>
  <c r="L32" i="1" s="1"/>
  <c r="M32" i="1"/>
  <c r="K33" i="1"/>
  <c r="L33" i="1"/>
  <c r="M33" i="1"/>
  <c r="K34" i="1"/>
  <c r="L34" i="1"/>
  <c r="M34" i="1"/>
  <c r="K35" i="1"/>
  <c r="L35" i="1" s="1"/>
  <c r="M35" i="1"/>
  <c r="K36" i="1"/>
  <c r="L36" i="1" s="1"/>
  <c r="M36" i="1"/>
  <c r="K37" i="1"/>
  <c r="L37" i="1"/>
  <c r="M37" i="1"/>
  <c r="K38" i="1"/>
  <c r="L38" i="1"/>
  <c r="M38" i="1"/>
  <c r="K39" i="1"/>
  <c r="L39" i="1" s="1"/>
  <c r="M39" i="1"/>
  <c r="K40" i="1"/>
  <c r="L40" i="1" s="1"/>
  <c r="M40" i="1"/>
  <c r="K41" i="1"/>
  <c r="L41" i="1"/>
  <c r="M41" i="1"/>
  <c r="K42" i="1"/>
  <c r="L42" i="1"/>
  <c r="M42" i="1"/>
  <c r="K43" i="1"/>
  <c r="L43" i="1" s="1"/>
  <c r="M43" i="1"/>
  <c r="K44" i="1"/>
  <c r="L44" i="1" s="1"/>
  <c r="M44" i="1"/>
  <c r="K46" i="1"/>
  <c r="L46" i="1"/>
  <c r="M46" i="1"/>
  <c r="K47" i="1"/>
  <c r="L47" i="1"/>
  <c r="M47" i="1"/>
  <c r="K48" i="1"/>
  <c r="L48" i="1" s="1"/>
  <c r="M48" i="1"/>
  <c r="K50" i="1"/>
  <c r="L50" i="1" s="1"/>
  <c r="M50" i="1"/>
  <c r="K51" i="1"/>
  <c r="L51" i="1"/>
  <c r="M51" i="1"/>
  <c r="K52" i="1"/>
  <c r="L52" i="1"/>
  <c r="M52" i="1"/>
  <c r="K53" i="1"/>
  <c r="L53" i="1" s="1"/>
  <c r="M53" i="1"/>
  <c r="K54" i="1"/>
  <c r="L54" i="1" s="1"/>
  <c r="M54" i="1"/>
  <c r="K55" i="1"/>
  <c r="L55" i="1"/>
  <c r="M55" i="1"/>
  <c r="K56" i="1"/>
  <c r="L56" i="1"/>
  <c r="M56" i="1"/>
  <c r="K57" i="1"/>
  <c r="L57" i="1" s="1"/>
  <c r="M57" i="1"/>
  <c r="K58" i="1"/>
  <c r="L58" i="1" s="1"/>
  <c r="M58" i="1"/>
  <c r="K59" i="1"/>
  <c r="L59" i="1"/>
  <c r="M59" i="1"/>
  <c r="K60" i="1"/>
  <c r="L60" i="1"/>
  <c r="M60" i="1"/>
  <c r="K61" i="1"/>
  <c r="L61" i="1" s="1"/>
  <c r="M61" i="1"/>
  <c r="K62" i="1"/>
  <c r="L62" i="1" s="1"/>
  <c r="M62" i="1"/>
  <c r="K63" i="1"/>
  <c r="L63" i="1"/>
  <c r="M63" i="1"/>
  <c r="K64" i="1"/>
  <c r="L64" i="1"/>
  <c r="M64" i="1"/>
  <c r="K65" i="1"/>
  <c r="L65" i="1" s="1"/>
  <c r="M65" i="1"/>
  <c r="K67" i="1"/>
  <c r="L67" i="1" s="1"/>
  <c r="M67" i="1"/>
  <c r="K68" i="1"/>
  <c r="L68" i="1"/>
  <c r="M68" i="1"/>
  <c r="K69" i="1"/>
  <c r="L69" i="1"/>
  <c r="M69" i="1"/>
  <c r="K70" i="1"/>
  <c r="L70" i="1" s="1"/>
  <c r="M70" i="1"/>
  <c r="K71" i="1"/>
  <c r="L71" i="1" s="1"/>
  <c r="M71" i="1"/>
  <c r="K72" i="1"/>
  <c r="L72" i="1"/>
  <c r="M72" i="1"/>
  <c r="K73" i="1"/>
  <c r="L73" i="1"/>
  <c r="M73" i="1"/>
  <c r="K74" i="1"/>
  <c r="L74" i="1" s="1"/>
  <c r="M74" i="1"/>
  <c r="K75" i="1"/>
  <c r="L75" i="1" s="1"/>
  <c r="M75" i="1"/>
  <c r="K77" i="1"/>
  <c r="L77" i="1"/>
  <c r="M77" i="1"/>
  <c r="K78" i="1"/>
  <c r="L78" i="1"/>
  <c r="M78" i="1"/>
  <c r="K79" i="1"/>
  <c r="L79" i="1" s="1"/>
  <c r="M79" i="1"/>
  <c r="K80" i="1"/>
  <c r="L80" i="1" s="1"/>
  <c r="M80" i="1"/>
  <c r="K81" i="1"/>
  <c r="L81" i="1"/>
  <c r="M81" i="1"/>
  <c r="K82" i="1"/>
  <c r="L82" i="1"/>
  <c r="M82" i="1"/>
  <c r="K83" i="1"/>
  <c r="L83" i="1" s="1"/>
  <c r="M83" i="1"/>
  <c r="K84" i="1"/>
  <c r="L84" i="1" s="1"/>
  <c r="M84" i="1"/>
  <c r="K85" i="1"/>
  <c r="L85" i="1"/>
  <c r="M85" i="1"/>
  <c r="K86" i="1"/>
  <c r="L86" i="1"/>
  <c r="M86" i="1"/>
  <c r="K87" i="1"/>
  <c r="L87" i="1" s="1"/>
  <c r="M87" i="1"/>
  <c r="K88" i="1"/>
  <c r="L88" i="1" s="1"/>
  <c r="M88" i="1"/>
  <c r="K89" i="1"/>
  <c r="L89" i="1"/>
  <c r="M89" i="1"/>
  <c r="K91" i="1"/>
  <c r="L91" i="1"/>
  <c r="M91" i="1"/>
  <c r="K92" i="1"/>
  <c r="L92" i="1" s="1"/>
  <c r="M92" i="1"/>
  <c r="K93" i="1"/>
  <c r="L93" i="1" s="1"/>
  <c r="M93" i="1"/>
  <c r="K94" i="1"/>
  <c r="L94" i="1"/>
  <c r="M94" i="1"/>
  <c r="K95" i="1"/>
  <c r="L95" i="1"/>
  <c r="M95" i="1"/>
  <c r="K97" i="1"/>
  <c r="L97" i="1" s="1"/>
  <c r="M97" i="1"/>
  <c r="K98" i="1"/>
  <c r="L98" i="1" s="1"/>
  <c r="M98" i="1"/>
  <c r="K99" i="1"/>
  <c r="L99" i="1"/>
  <c r="M99" i="1"/>
  <c r="K100" i="1"/>
  <c r="L100" i="1"/>
  <c r="M100" i="1"/>
  <c r="K101" i="1"/>
  <c r="L101" i="1" s="1"/>
  <c r="M101" i="1"/>
  <c r="K102" i="1"/>
  <c r="L102" i="1" s="1"/>
  <c r="M102" i="1"/>
  <c r="K103" i="1"/>
  <c r="L103" i="1"/>
  <c r="M103" i="1"/>
  <c r="K104" i="1"/>
  <c r="L104" i="1"/>
  <c r="M104" i="1"/>
  <c r="K105" i="1"/>
  <c r="L105" i="1" s="1"/>
  <c r="M105" i="1"/>
  <c r="K106" i="1"/>
  <c r="L106" i="1" s="1"/>
  <c r="M106" i="1"/>
  <c r="K107" i="1"/>
  <c r="L107" i="1"/>
  <c r="M107" i="1"/>
  <c r="K108" i="1"/>
  <c r="L108" i="1"/>
  <c r="M108" i="1"/>
  <c r="K109" i="1"/>
  <c r="L109" i="1" s="1"/>
  <c r="M109" i="1"/>
  <c r="K111" i="1"/>
  <c r="L111" i="1" s="1"/>
  <c r="M111" i="1"/>
  <c r="K112" i="1"/>
  <c r="L112" i="1"/>
  <c r="M112" i="1"/>
  <c r="K113" i="1"/>
  <c r="L113" i="1"/>
  <c r="M113" i="1"/>
  <c r="K114" i="1"/>
  <c r="L114" i="1" s="1"/>
  <c r="M114" i="1"/>
  <c r="K115" i="1"/>
  <c r="L115" i="1" s="1"/>
  <c r="M115" i="1"/>
  <c r="K116" i="1"/>
  <c r="L116" i="1"/>
  <c r="M116" i="1"/>
  <c r="K117" i="1"/>
  <c r="L117" i="1"/>
  <c r="M117" i="1"/>
  <c r="K119" i="1"/>
  <c r="L119" i="1" s="1"/>
  <c r="M119" i="1"/>
  <c r="K120" i="1"/>
  <c r="L120" i="1" s="1"/>
  <c r="M120" i="1"/>
  <c r="K121" i="1"/>
  <c r="L121" i="1"/>
  <c r="M121" i="1"/>
  <c r="K122" i="1"/>
  <c r="L122" i="1"/>
  <c r="M122" i="1"/>
  <c r="K123" i="1"/>
  <c r="L123" i="1" s="1"/>
  <c r="M123" i="1"/>
  <c r="K124" i="1"/>
  <c r="L124" i="1" s="1"/>
  <c r="M124" i="1"/>
  <c r="K125" i="1"/>
  <c r="L125" i="1"/>
  <c r="M125" i="1"/>
  <c r="K126" i="1"/>
  <c r="L126" i="1"/>
  <c r="M126" i="1"/>
  <c r="K127" i="1"/>
  <c r="L127" i="1" s="1"/>
  <c r="M127" i="1"/>
  <c r="K128" i="1"/>
  <c r="L128" i="1" s="1"/>
  <c r="M128" i="1"/>
  <c r="K129" i="1"/>
  <c r="L129" i="1"/>
  <c r="M129" i="1"/>
  <c r="K130" i="1"/>
  <c r="L130" i="1"/>
  <c r="M130" i="1"/>
  <c r="K131" i="1"/>
  <c r="L131" i="1" s="1"/>
  <c r="M131" i="1"/>
  <c r="K132" i="1"/>
  <c r="L132" i="1" s="1"/>
  <c r="M132" i="1"/>
  <c r="K133" i="1"/>
  <c r="L133" i="1"/>
  <c r="M133" i="1"/>
  <c r="K135" i="1"/>
  <c r="L135" i="1"/>
  <c r="M135" i="1"/>
  <c r="K136" i="1"/>
  <c r="L136" i="1" s="1"/>
  <c r="M136" i="1"/>
  <c r="K137" i="1"/>
  <c r="L137" i="1" s="1"/>
  <c r="M137" i="1"/>
  <c r="K138" i="1"/>
  <c r="L138" i="1"/>
  <c r="M138" i="1"/>
  <c r="K139" i="1"/>
  <c r="L139" i="1"/>
  <c r="M139" i="1"/>
  <c r="K141" i="1"/>
  <c r="L141" i="1" s="1"/>
  <c r="M141" i="1"/>
  <c r="K142" i="1"/>
  <c r="L142" i="1" s="1"/>
  <c r="M142" i="1"/>
  <c r="K143" i="1"/>
  <c r="L143" i="1"/>
  <c r="M143" i="1"/>
  <c r="K144" i="1"/>
  <c r="L144" i="1"/>
  <c r="M144" i="1"/>
  <c r="K145" i="1"/>
  <c r="L145" i="1" s="1"/>
  <c r="M145" i="1"/>
  <c r="K146" i="1"/>
  <c r="L146" i="1" s="1"/>
  <c r="M146" i="1"/>
  <c r="K147" i="1"/>
  <c r="L147" i="1"/>
  <c r="M147" i="1"/>
  <c r="K148" i="1"/>
  <c r="L148" i="1"/>
  <c r="M148" i="1"/>
  <c r="K149" i="1"/>
  <c r="L149" i="1" s="1"/>
  <c r="M149" i="1"/>
  <c r="K150" i="1"/>
  <c r="L150" i="1" s="1"/>
  <c r="M150" i="1"/>
  <c r="K151" i="1"/>
  <c r="L151" i="1"/>
  <c r="M151" i="1"/>
  <c r="K152" i="1"/>
  <c r="L152" i="1"/>
  <c r="M152" i="1"/>
  <c r="K153" i="1"/>
  <c r="L153" i="1" s="1"/>
  <c r="M153" i="1"/>
  <c r="K154" i="1"/>
  <c r="L154" i="1" s="1"/>
  <c r="M154" i="1"/>
  <c r="K155" i="1"/>
  <c r="L155" i="1"/>
  <c r="M155" i="1"/>
  <c r="K156" i="1"/>
  <c r="L156" i="1"/>
  <c r="M156" i="1"/>
  <c r="K157" i="1"/>
  <c r="L157" i="1" s="1"/>
  <c r="M157" i="1"/>
  <c r="K159" i="1"/>
  <c r="L159" i="1" s="1"/>
  <c r="M159" i="1"/>
  <c r="K160" i="1"/>
  <c r="L160" i="1"/>
  <c r="M160" i="1"/>
  <c r="K161" i="1"/>
  <c r="L161" i="1"/>
  <c r="M161" i="1"/>
  <c r="K162" i="1"/>
  <c r="L162" i="1" s="1"/>
  <c r="M162" i="1"/>
  <c r="K163" i="1"/>
  <c r="L163" i="1" s="1"/>
  <c r="M163" i="1"/>
  <c r="K165" i="1"/>
  <c r="L165" i="1"/>
  <c r="M165" i="1"/>
  <c r="K166" i="1"/>
  <c r="L166" i="1"/>
  <c r="M166" i="1"/>
  <c r="K168" i="1"/>
  <c r="L168" i="1" s="1"/>
  <c r="M168" i="1"/>
  <c r="K169" i="1"/>
  <c r="L169" i="1" s="1"/>
  <c r="M169" i="1"/>
  <c r="K170" i="1"/>
  <c r="L170" i="1"/>
  <c r="M170" i="1"/>
  <c r="K171" i="1"/>
  <c r="L171" i="1"/>
  <c r="M171" i="1"/>
  <c r="K172" i="1"/>
  <c r="L172" i="1" s="1"/>
  <c r="M172" i="1"/>
  <c r="K173" i="1"/>
  <c r="L173" i="1" s="1"/>
  <c r="M173" i="1"/>
  <c r="K174" i="1"/>
  <c r="L174" i="1"/>
  <c r="M174" i="1"/>
  <c r="K175" i="1"/>
  <c r="L175" i="1"/>
  <c r="M175" i="1"/>
  <c r="K176" i="1"/>
  <c r="L176" i="1" s="1"/>
  <c r="M176" i="1"/>
  <c r="K177" i="1"/>
  <c r="L177" i="1" s="1"/>
  <c r="M177" i="1"/>
  <c r="K178" i="1"/>
  <c r="L178" i="1"/>
  <c r="M178" i="1"/>
  <c r="K179" i="1"/>
  <c r="L179" i="1"/>
  <c r="M179" i="1"/>
  <c r="K180" i="1"/>
  <c r="L180" i="1" s="1"/>
  <c r="M180" i="1"/>
  <c r="K181" i="1"/>
  <c r="L181" i="1" s="1"/>
  <c r="M181" i="1"/>
  <c r="K182" i="1"/>
  <c r="L182" i="1"/>
  <c r="M182" i="1"/>
  <c r="K184" i="1"/>
  <c r="L184" i="1"/>
  <c r="M184" i="1"/>
  <c r="K185" i="1"/>
  <c r="L185" i="1" s="1"/>
  <c r="M185" i="1"/>
  <c r="K186" i="1"/>
  <c r="L186" i="1" s="1"/>
  <c r="M186" i="1"/>
  <c r="K187" i="1"/>
  <c r="L187" i="1"/>
  <c r="M187" i="1"/>
  <c r="K188" i="1"/>
  <c r="L188" i="1"/>
  <c r="M188" i="1"/>
  <c r="K190" i="1"/>
  <c r="L190" i="1" s="1"/>
  <c r="M190" i="1"/>
  <c r="K191" i="1"/>
  <c r="L191" i="1" s="1"/>
  <c r="M191" i="1"/>
  <c r="K192" i="1"/>
  <c r="L192" i="1"/>
  <c r="M192" i="1"/>
  <c r="K194" i="1"/>
  <c r="L194" i="1"/>
  <c r="M194" i="1"/>
  <c r="K195" i="1"/>
  <c r="L195" i="1" s="1"/>
  <c r="M195" i="1"/>
  <c r="K196" i="1"/>
  <c r="L196" i="1" s="1"/>
  <c r="M196" i="1"/>
  <c r="K197" i="1"/>
  <c r="L197" i="1"/>
  <c r="M197" i="1"/>
  <c r="K198" i="1"/>
  <c r="L198" i="1"/>
  <c r="M198" i="1"/>
  <c r="K199" i="1"/>
  <c r="L199" i="1" s="1"/>
  <c r="M199" i="1"/>
  <c r="K200" i="1"/>
  <c r="L200" i="1" s="1"/>
  <c r="M200" i="1"/>
  <c r="K201" i="1"/>
  <c r="L201" i="1"/>
  <c r="M201" i="1"/>
  <c r="K202" i="1"/>
  <c r="L202" i="1"/>
  <c r="M202" i="1"/>
  <c r="K203" i="1"/>
  <c r="L203" i="1" s="1"/>
  <c r="M203" i="1"/>
  <c r="K205" i="1"/>
  <c r="L205" i="1" s="1"/>
  <c r="M205" i="1"/>
  <c r="K206" i="1"/>
  <c r="L206" i="1"/>
  <c r="M206" i="1"/>
  <c r="K207" i="1"/>
  <c r="L207" i="1"/>
  <c r="M207" i="1"/>
  <c r="K208" i="1"/>
  <c r="L208" i="1" s="1"/>
  <c r="M208" i="1"/>
  <c r="K209" i="1"/>
  <c r="L209" i="1" s="1"/>
  <c r="M209" i="1"/>
  <c r="K211" i="1"/>
  <c r="L211" i="1"/>
  <c r="M211" i="1"/>
  <c r="K212" i="1"/>
  <c r="L212" i="1"/>
  <c r="M212" i="1"/>
  <c r="K213" i="1"/>
  <c r="L213" i="1" s="1"/>
  <c r="M213" i="1"/>
  <c r="K214" i="1"/>
  <c r="L214" i="1" s="1"/>
  <c r="M214" i="1"/>
  <c r="K215" i="1"/>
  <c r="L215" i="1"/>
  <c r="M215" i="1"/>
  <c r="K217" i="1"/>
  <c r="L217" i="1"/>
  <c r="M217" i="1"/>
  <c r="K218" i="1"/>
  <c r="L218" i="1" s="1"/>
  <c r="M218" i="1"/>
  <c r="K219" i="1"/>
  <c r="L219" i="1" s="1"/>
  <c r="M219" i="1"/>
  <c r="K221" i="1"/>
  <c r="L221" i="1"/>
  <c r="M221" i="1"/>
  <c r="K222" i="1"/>
  <c r="L222" i="1"/>
  <c r="M222" i="1"/>
  <c r="K223" i="1"/>
  <c r="L223" i="1" s="1"/>
  <c r="M223" i="1"/>
  <c r="K224" i="1"/>
  <c r="L224" i="1" s="1"/>
  <c r="M224" i="1"/>
  <c r="K226" i="1"/>
  <c r="L226" i="1"/>
  <c r="M226" i="1"/>
  <c r="K227" i="1"/>
  <c r="L227" i="1"/>
  <c r="M227" i="1"/>
  <c r="K228" i="1"/>
  <c r="L228" i="1" s="1"/>
  <c r="M228" i="1"/>
  <c r="K229" i="1"/>
  <c r="L229" i="1" s="1"/>
  <c r="M229" i="1"/>
  <c r="K230" i="1"/>
  <c r="L230" i="1"/>
  <c r="M230" i="1"/>
  <c r="K232" i="1"/>
  <c r="L232" i="1"/>
  <c r="M232" i="1"/>
  <c r="K233" i="1"/>
  <c r="L233" i="1" s="1"/>
  <c r="M233" i="1"/>
  <c r="K235" i="1"/>
  <c r="L235" i="1" s="1"/>
  <c r="M235" i="1"/>
  <c r="K236" i="1"/>
  <c r="L236" i="1"/>
  <c r="M236" i="1"/>
  <c r="K237" i="1"/>
  <c r="L237" i="1"/>
  <c r="M237" i="1"/>
  <c r="K238" i="1"/>
  <c r="L238" i="1" s="1"/>
  <c r="M238" i="1"/>
  <c r="K239" i="1"/>
  <c r="L239" i="1" s="1"/>
  <c r="M239" i="1"/>
  <c r="K240" i="1"/>
  <c r="L240" i="1"/>
  <c r="M240" i="1"/>
  <c r="K242" i="1"/>
  <c r="L242" i="1"/>
  <c r="M242" i="1"/>
  <c r="K243" i="1"/>
  <c r="L243" i="1" s="1"/>
  <c r="M243" i="1"/>
  <c r="K244" i="1"/>
  <c r="L244" i="1" s="1"/>
  <c r="M244" i="1"/>
  <c r="K245" i="1"/>
  <c r="L245" i="1"/>
  <c r="M245" i="1"/>
  <c r="K246" i="1"/>
  <c r="L246" i="1"/>
  <c r="M246" i="1"/>
  <c r="K247" i="1"/>
  <c r="L247" i="1" s="1"/>
  <c r="M247" i="1"/>
  <c r="K248" i="1"/>
  <c r="L248" i="1" s="1"/>
  <c r="M248" i="1"/>
  <c r="K249" i="1"/>
  <c r="L249" i="1"/>
  <c r="M249" i="1"/>
  <c r="K250" i="1"/>
  <c r="L250" i="1"/>
  <c r="M250" i="1"/>
  <c r="K251" i="1"/>
  <c r="L251" i="1" s="1"/>
  <c r="M251" i="1"/>
  <c r="K252" i="1"/>
  <c r="L252" i="1" s="1"/>
  <c r="M252" i="1"/>
  <c r="K253" i="1"/>
  <c r="L253" i="1"/>
  <c r="M253" i="1"/>
  <c r="K254" i="1"/>
  <c r="L254" i="1"/>
  <c r="M254" i="1"/>
  <c r="K256" i="1"/>
  <c r="L256" i="1" s="1"/>
  <c r="M256" i="1"/>
  <c r="K257" i="1"/>
  <c r="L257" i="1" s="1"/>
  <c r="M257" i="1"/>
  <c r="K258" i="1"/>
  <c r="L258" i="1"/>
  <c r="M258" i="1"/>
  <c r="K259" i="1"/>
  <c r="L259" i="1"/>
  <c r="M259" i="1"/>
  <c r="K260" i="1"/>
  <c r="L260" i="1" s="1"/>
  <c r="M260" i="1"/>
  <c r="K262" i="1"/>
  <c r="L262" i="1" s="1"/>
  <c r="M262" i="1"/>
  <c r="K263" i="1"/>
  <c r="L263" i="1"/>
  <c r="M263" i="1"/>
  <c r="K264" i="1"/>
  <c r="L264" i="1"/>
  <c r="M264" i="1"/>
  <c r="K265" i="1"/>
  <c r="L265" i="1" s="1"/>
  <c r="M265" i="1"/>
  <c r="K267" i="1"/>
  <c r="L267" i="1" s="1"/>
  <c r="M267" i="1"/>
  <c r="K268" i="1"/>
  <c r="L268" i="1"/>
  <c r="M268" i="1"/>
  <c r="K269" i="1"/>
  <c r="L269" i="1"/>
  <c r="M269" i="1"/>
  <c r="K271" i="1"/>
  <c r="L271" i="1" s="1"/>
  <c r="M271" i="1"/>
  <c r="K272" i="1"/>
  <c r="L272" i="1" s="1"/>
  <c r="M272" i="1"/>
  <c r="K273" i="1"/>
  <c r="L273" i="1"/>
  <c r="M273" i="1"/>
  <c r="K275" i="1"/>
  <c r="L275" i="1"/>
  <c r="M275" i="1"/>
  <c r="K276" i="1"/>
  <c r="L276" i="1" s="1"/>
  <c r="M276" i="1"/>
  <c r="K278" i="1"/>
  <c r="L278" i="1" s="1"/>
  <c r="M278" i="1"/>
  <c r="K279" i="1"/>
  <c r="L279" i="1"/>
  <c r="M279" i="1"/>
  <c r="K280" i="1"/>
  <c r="L280" i="1"/>
  <c r="M280" i="1"/>
  <c r="K281" i="1"/>
  <c r="L281" i="1" s="1"/>
  <c r="M281" i="1"/>
  <c r="K282" i="1"/>
  <c r="L282" i="1" s="1"/>
  <c r="M282" i="1"/>
  <c r="K283" i="1"/>
  <c r="L283" i="1"/>
  <c r="M283" i="1"/>
  <c r="K284" i="1"/>
  <c r="L284" i="1"/>
  <c r="M284" i="1"/>
  <c r="K285" i="1"/>
  <c r="L285" i="1" s="1"/>
  <c r="M285" i="1"/>
  <c r="K286" i="1"/>
  <c r="L286" i="1" s="1"/>
  <c r="M286" i="1"/>
  <c r="K287" i="1"/>
  <c r="L287" i="1"/>
  <c r="M287" i="1"/>
  <c r="K288" i="1"/>
  <c r="L288" i="1"/>
  <c r="M288" i="1"/>
  <c r="K289" i="1"/>
  <c r="L289" i="1" s="1"/>
  <c r="M289" i="1"/>
  <c r="K290" i="1"/>
  <c r="L290" i="1" s="1"/>
  <c r="M290" i="1"/>
  <c r="K291" i="1"/>
  <c r="L291" i="1"/>
  <c r="M291" i="1"/>
  <c r="K292" i="1"/>
  <c r="L292" i="1"/>
  <c r="M292" i="1"/>
  <c r="K293" i="1"/>
  <c r="L293" i="1" s="1"/>
  <c r="M293" i="1"/>
  <c r="K294" i="1"/>
  <c r="L294" i="1" s="1"/>
  <c r="M294" i="1"/>
  <c r="K296" i="1"/>
  <c r="L296" i="1"/>
  <c r="M296" i="1"/>
  <c r="K297" i="1"/>
  <c r="L297" i="1"/>
  <c r="M297" i="1"/>
  <c r="K299" i="1"/>
  <c r="L299" i="1" s="1"/>
  <c r="M299" i="1"/>
  <c r="K300" i="1"/>
  <c r="L300" i="1" s="1"/>
  <c r="M300" i="1"/>
  <c r="K301" i="1"/>
  <c r="L301" i="1"/>
  <c r="M301" i="1"/>
  <c r="K303" i="1"/>
  <c r="L303" i="1"/>
  <c r="M303" i="1"/>
  <c r="K304" i="1"/>
  <c r="L304" i="1" s="1"/>
  <c r="M304" i="1"/>
  <c r="K305" i="1"/>
  <c r="L305" i="1" s="1"/>
  <c r="M305" i="1"/>
  <c r="K307" i="1"/>
  <c r="L307" i="1"/>
  <c r="M307" i="1"/>
  <c r="K308" i="1"/>
  <c r="L308" i="1"/>
  <c r="M308" i="1"/>
  <c r="K309" i="1"/>
  <c r="L309" i="1" s="1"/>
  <c r="M309" i="1"/>
  <c r="K310" i="1"/>
  <c r="L310" i="1" s="1"/>
  <c r="M310" i="1"/>
  <c r="K312" i="1"/>
  <c r="L312" i="1"/>
  <c r="M312" i="1"/>
  <c r="K313" i="1"/>
  <c r="L313" i="1"/>
  <c r="M313" i="1"/>
  <c r="K314" i="1"/>
  <c r="L314" i="1" s="1"/>
  <c r="M314" i="1"/>
  <c r="K315" i="1"/>
  <c r="L315" i="1" s="1"/>
  <c r="M315" i="1"/>
  <c r="K316" i="1"/>
  <c r="L316" i="1"/>
  <c r="M316" i="1"/>
  <c r="K317" i="1"/>
  <c r="L317" i="1"/>
  <c r="M317" i="1"/>
  <c r="K318" i="1"/>
  <c r="L318" i="1" s="1"/>
  <c r="M318" i="1"/>
  <c r="K319" i="1"/>
  <c r="L319" i="1" s="1"/>
  <c r="M319" i="1"/>
  <c r="K321" i="1"/>
  <c r="L321" i="1"/>
  <c r="M321" i="1"/>
  <c r="K322" i="1"/>
  <c r="L322" i="1"/>
  <c r="M322" i="1"/>
  <c r="K323" i="1"/>
  <c r="L323" i="1" s="1"/>
  <c r="M323" i="1"/>
  <c r="K325" i="1"/>
  <c r="L325" i="1" s="1"/>
  <c r="M325" i="1"/>
  <c r="K326" i="1"/>
  <c r="L326" i="1"/>
  <c r="M326" i="1"/>
  <c r="K327" i="1"/>
  <c r="L327" i="1"/>
  <c r="M327" i="1"/>
  <c r="K329" i="1"/>
  <c r="L329" i="1" s="1"/>
  <c r="M329" i="1"/>
  <c r="K330" i="1"/>
  <c r="L330" i="1" s="1"/>
  <c r="M330" i="1"/>
  <c r="K331" i="1"/>
  <c r="L331" i="1"/>
  <c r="M331" i="1"/>
  <c r="K332" i="1"/>
  <c r="L332" i="1"/>
  <c r="M332" i="1"/>
  <c r="K334" i="1"/>
  <c r="L334" i="1" s="1"/>
  <c r="M334" i="1"/>
  <c r="K335" i="1"/>
  <c r="L335" i="1" s="1"/>
  <c r="M335" i="1"/>
  <c r="K336" i="1"/>
  <c r="L336" i="1"/>
  <c r="M336" i="1"/>
  <c r="K337" i="1"/>
  <c r="L337" i="1"/>
  <c r="M337" i="1"/>
  <c r="K338" i="1"/>
  <c r="L338" i="1" s="1"/>
  <c r="M338" i="1"/>
  <c r="K339" i="1"/>
  <c r="L339" i="1" s="1"/>
  <c r="M339" i="1"/>
  <c r="K341" i="1"/>
  <c r="L341" i="1"/>
  <c r="M341" i="1"/>
  <c r="K342" i="1"/>
  <c r="L342" i="1"/>
  <c r="M342" i="1"/>
  <c r="K344" i="1"/>
  <c r="L344" i="1" s="1"/>
  <c r="M344" i="1"/>
  <c r="K345" i="1"/>
  <c r="L345" i="1" s="1"/>
  <c r="M345" i="1"/>
  <c r="K347" i="1"/>
  <c r="L347" i="1"/>
  <c r="M347" i="1"/>
  <c r="K348" i="1"/>
  <c r="L348" i="1"/>
  <c r="M348" i="1"/>
  <c r="K349" i="1"/>
  <c r="L349" i="1" s="1"/>
  <c r="M349" i="1"/>
  <c r="K351" i="1"/>
  <c r="L351" i="1" s="1"/>
  <c r="M351" i="1"/>
  <c r="K352" i="1"/>
  <c r="L352" i="1"/>
  <c r="M352" i="1"/>
  <c r="K353" i="1"/>
  <c r="L353" i="1"/>
  <c r="M353" i="1"/>
  <c r="K355" i="1"/>
  <c r="L355" i="1" s="1"/>
  <c r="M355" i="1"/>
  <c r="K356" i="1"/>
  <c r="L356" i="1" s="1"/>
  <c r="M356" i="1"/>
  <c r="K357" i="1"/>
  <c r="L357" i="1"/>
  <c r="M357" i="1"/>
  <c r="K359" i="1"/>
  <c r="L359" i="1"/>
  <c r="M359" i="1"/>
  <c r="K360" i="1"/>
  <c r="L360" i="1" s="1"/>
  <c r="M360" i="1"/>
  <c r="K362" i="1"/>
  <c r="L362" i="1" s="1"/>
  <c r="M362" i="1"/>
  <c r="B2" i="9"/>
  <c r="K18" i="9"/>
  <c r="L18" i="9" s="1"/>
  <c r="M18" i="9"/>
  <c r="K19" i="9"/>
  <c r="L19" i="9"/>
  <c r="M19" i="9"/>
  <c r="K20" i="9"/>
  <c r="L20" i="9"/>
  <c r="M20" i="9"/>
  <c r="K21" i="9"/>
  <c r="L21" i="9" s="1"/>
  <c r="M21" i="9"/>
  <c r="K22" i="9"/>
  <c r="L22" i="9" s="1"/>
  <c r="M22" i="9"/>
  <c r="K23" i="9"/>
  <c r="L23" i="9"/>
  <c r="M23" i="9"/>
  <c r="K24" i="9"/>
  <c r="L24" i="9"/>
  <c r="M24" i="9"/>
  <c r="K26" i="9"/>
  <c r="L26" i="9" s="1"/>
  <c r="M26" i="9"/>
  <c r="K27" i="9"/>
  <c r="L27" i="9" s="1"/>
  <c r="M27" i="9"/>
  <c r="K28" i="9"/>
  <c r="L28" i="9"/>
  <c r="M28" i="9"/>
  <c r="K29" i="9"/>
  <c r="L29" i="9"/>
  <c r="M29" i="9"/>
  <c r="K30" i="9"/>
  <c r="L30" i="9" s="1"/>
  <c r="M30" i="9"/>
  <c r="K31" i="9"/>
  <c r="L31" i="9" s="1"/>
  <c r="M31" i="9"/>
  <c r="K32" i="9"/>
  <c r="L32" i="9"/>
  <c r="M32" i="9"/>
  <c r="K33" i="9"/>
  <c r="L33" i="9"/>
  <c r="M33" i="9"/>
  <c r="K34" i="9"/>
  <c r="L34" i="9" s="1"/>
  <c r="M34" i="9"/>
  <c r="K36" i="9"/>
  <c r="L36" i="9" s="1"/>
  <c r="M36" i="9"/>
  <c r="K37" i="9"/>
  <c r="L37" i="9"/>
  <c r="M37" i="9"/>
  <c r="K38" i="9"/>
  <c r="L38" i="9"/>
  <c r="M38" i="9"/>
  <c r="K39" i="9"/>
  <c r="L39" i="9" s="1"/>
  <c r="M39" i="9"/>
  <c r="K40" i="9"/>
  <c r="L40" i="9" s="1"/>
  <c r="M40" i="9"/>
  <c r="K41" i="9"/>
  <c r="L41" i="9"/>
  <c r="M41" i="9"/>
  <c r="K42" i="9"/>
  <c r="L42" i="9"/>
  <c r="M42" i="9"/>
  <c r="K44" i="9"/>
  <c r="L44" i="9" s="1"/>
  <c r="M44" i="9"/>
  <c r="K45" i="9"/>
  <c r="L45" i="9" s="1"/>
  <c r="M45" i="9"/>
  <c r="K46" i="9"/>
  <c r="L46" i="9"/>
  <c r="M46" i="9"/>
  <c r="K47" i="9"/>
  <c r="L47" i="9"/>
  <c r="M47" i="9"/>
  <c r="K48" i="9"/>
  <c r="L48" i="9" s="1"/>
  <c r="M48" i="9"/>
  <c r="K50" i="9"/>
  <c r="L50" i="9" s="1"/>
  <c r="M50" i="9"/>
  <c r="K51" i="9"/>
  <c r="L51" i="9"/>
  <c r="M51" i="9"/>
  <c r="K52" i="9"/>
  <c r="L52" i="9"/>
  <c r="M52" i="9"/>
  <c r="K53" i="9"/>
  <c r="L53" i="9" s="1"/>
  <c r="M53" i="9"/>
  <c r="K55" i="9"/>
  <c r="L55" i="9" s="1"/>
  <c r="M55" i="9"/>
  <c r="K56" i="9"/>
  <c r="L56" i="9"/>
  <c r="M56" i="9"/>
  <c r="K57" i="9"/>
  <c r="L57" i="9"/>
  <c r="M57" i="9"/>
  <c r="K58" i="9"/>
  <c r="L58" i="9" s="1"/>
  <c r="M58" i="9"/>
  <c r="K59" i="9"/>
  <c r="L59" i="9" s="1"/>
  <c r="M59" i="9"/>
  <c r="K60" i="9"/>
  <c r="L60" i="9"/>
  <c r="M60" i="9"/>
  <c r="K62" i="9"/>
  <c r="L62" i="9"/>
  <c r="M62" i="9"/>
  <c r="K63" i="9"/>
  <c r="L63" i="9" s="1"/>
  <c r="M63" i="9"/>
  <c r="K64" i="9"/>
  <c r="L64" i="9" s="1"/>
  <c r="M64" i="9"/>
  <c r="K65" i="9"/>
  <c r="L65" i="9"/>
  <c r="M65" i="9"/>
  <c r="K66" i="9"/>
  <c r="L66" i="9"/>
  <c r="M66" i="9"/>
  <c r="K68" i="9"/>
  <c r="L68" i="9" s="1"/>
  <c r="M68" i="9"/>
  <c r="K69" i="9"/>
  <c r="L69" i="9" s="1"/>
  <c r="M69" i="9"/>
  <c r="K70" i="9"/>
  <c r="L70" i="9"/>
  <c r="M70" i="9"/>
  <c r="K71" i="9"/>
  <c r="L71" i="9"/>
  <c r="M71" i="9"/>
  <c r="K72" i="9"/>
  <c r="L72" i="9" s="1"/>
  <c r="M72" i="9"/>
  <c r="K74" i="9"/>
  <c r="L74" i="9" s="1"/>
  <c r="M74" i="9"/>
  <c r="K75" i="9"/>
  <c r="L75" i="9"/>
  <c r="M75" i="9"/>
  <c r="K76" i="9"/>
  <c r="L76" i="9"/>
  <c r="M76" i="9"/>
  <c r="K77" i="9"/>
  <c r="L77" i="9" s="1"/>
  <c r="M77" i="9"/>
  <c r="K78" i="9"/>
  <c r="L78" i="9" s="1"/>
  <c r="M78" i="9"/>
  <c r="K79" i="9"/>
  <c r="L79" i="9"/>
  <c r="M79" i="9"/>
  <c r="K81" i="9"/>
  <c r="L81" i="9"/>
  <c r="M81" i="9"/>
  <c r="K82" i="9"/>
  <c r="L82" i="9" s="1"/>
  <c r="M82" i="9"/>
  <c r="K83" i="9"/>
  <c r="L83" i="9"/>
  <c r="M83" i="9"/>
  <c r="K84" i="9"/>
  <c r="L84" i="9"/>
  <c r="M84" i="9"/>
  <c r="K85" i="9"/>
  <c r="L85" i="9"/>
  <c r="M85" i="9"/>
  <c r="K87" i="9"/>
  <c r="L87" i="9" s="1"/>
  <c r="M87" i="9"/>
  <c r="K88" i="9"/>
  <c r="L88" i="9"/>
  <c r="M88" i="9"/>
  <c r="K90" i="9"/>
  <c r="L90" i="9"/>
  <c r="M90" i="9"/>
  <c r="K91" i="9"/>
  <c r="L91" i="9"/>
  <c r="M91" i="9"/>
  <c r="K92" i="9"/>
  <c r="L92" i="9" s="1"/>
  <c r="M92" i="9"/>
  <c r="K93" i="9"/>
  <c r="L93" i="9"/>
  <c r="M93" i="9"/>
  <c r="K94" i="9"/>
  <c r="L94" i="9"/>
  <c r="M94" i="9"/>
  <c r="K95" i="9"/>
  <c r="L95" i="9"/>
  <c r="M95" i="9"/>
  <c r="K97" i="9"/>
  <c r="L97" i="9" s="1"/>
  <c r="M97" i="9"/>
  <c r="K98" i="9"/>
  <c r="L98" i="9"/>
  <c r="M98" i="9"/>
  <c r="K99" i="9"/>
  <c r="L99" i="9"/>
  <c r="M99" i="9"/>
  <c r="K100" i="9"/>
  <c r="L100" i="9"/>
  <c r="M100" i="9"/>
  <c r="K101" i="9"/>
  <c r="L101" i="9" s="1"/>
  <c r="M101" i="9"/>
  <c r="K103" i="9"/>
  <c r="L103" i="9"/>
  <c r="M103" i="9"/>
  <c r="K104" i="9"/>
  <c r="L104" i="9"/>
  <c r="M104" i="9"/>
  <c r="K105" i="9"/>
  <c r="L105" i="9"/>
  <c r="M105" i="9"/>
  <c r="K107" i="9"/>
  <c r="L107" i="9" s="1"/>
  <c r="M107" i="9"/>
  <c r="K108" i="9"/>
  <c r="L108" i="9"/>
  <c r="M108" i="9"/>
  <c r="K109" i="9"/>
  <c r="L109" i="9"/>
  <c r="M109" i="9"/>
  <c r="K110" i="9"/>
  <c r="L110" i="9"/>
  <c r="M110" i="9"/>
  <c r="K111" i="9"/>
  <c r="L111" i="9" s="1"/>
  <c r="M111" i="9"/>
  <c r="K112" i="9"/>
  <c r="L112" i="9"/>
  <c r="M112" i="9"/>
  <c r="K113" i="9"/>
  <c r="L113" i="9"/>
  <c r="M113" i="9"/>
  <c r="K115" i="9"/>
  <c r="L115" i="9"/>
  <c r="M115" i="9"/>
  <c r="K116" i="9"/>
  <c r="L116" i="9" s="1"/>
  <c r="M116" i="9"/>
  <c r="K117" i="9"/>
  <c r="L117" i="9"/>
  <c r="M117" i="9"/>
  <c r="K118" i="9"/>
  <c r="L118" i="9"/>
  <c r="M118" i="9"/>
  <c r="K119" i="9"/>
  <c r="L119" i="9"/>
  <c r="M119" i="9"/>
  <c r="K121" i="9"/>
  <c r="L121" i="9" s="1"/>
  <c r="M121" i="9"/>
  <c r="K122" i="9"/>
  <c r="L122" i="9"/>
  <c r="M122" i="9"/>
  <c r="K123" i="9"/>
  <c r="L123" i="9"/>
  <c r="M123" i="9"/>
  <c r="K125" i="9"/>
  <c r="L125" i="9"/>
  <c r="M125" i="9"/>
  <c r="K126" i="9"/>
  <c r="L126" i="9" s="1"/>
  <c r="M126" i="9"/>
  <c r="K127" i="9"/>
  <c r="L127" i="9"/>
  <c r="M127" i="9"/>
  <c r="K128" i="9"/>
  <c r="L128" i="9"/>
  <c r="M128" i="9"/>
  <c r="K130" i="9"/>
  <c r="L130" i="9"/>
  <c r="M130" i="9"/>
  <c r="K131" i="9"/>
  <c r="L131" i="9" s="1"/>
  <c r="M131" i="9"/>
  <c r="K132" i="9"/>
  <c r="L132" i="9"/>
  <c r="M132" i="9"/>
  <c r="K133" i="9"/>
  <c r="L133" i="9"/>
  <c r="M133" i="9"/>
  <c r="K134" i="9"/>
  <c r="L134" i="9"/>
  <c r="M134" i="9"/>
  <c r="K136" i="9"/>
  <c r="L136" i="9" s="1"/>
  <c r="M136" i="9"/>
  <c r="K137" i="9"/>
  <c r="L137" i="9"/>
  <c r="M137" i="9"/>
  <c r="K139" i="9"/>
  <c r="L139" i="9"/>
  <c r="M139" i="9"/>
  <c r="K140" i="9"/>
  <c r="L140" i="9"/>
  <c r="M140" i="9"/>
  <c r="K141" i="9"/>
  <c r="L141" i="9" s="1"/>
  <c r="M141" i="9"/>
  <c r="K142" i="9"/>
  <c r="L142" i="9"/>
  <c r="M142" i="9"/>
  <c r="K143" i="9"/>
  <c r="L143" i="9"/>
  <c r="M143" i="9"/>
  <c r="K144" i="9"/>
  <c r="L144" i="9"/>
  <c r="M144" i="9"/>
  <c r="K145" i="9"/>
  <c r="L145" i="9" s="1"/>
  <c r="M145" i="9"/>
  <c r="K146" i="9"/>
  <c r="L146" i="9"/>
  <c r="M146" i="9"/>
  <c r="K147" i="9"/>
  <c r="L147" i="9"/>
  <c r="M147" i="9"/>
  <c r="K148" i="9"/>
  <c r="L148" i="9"/>
  <c r="M148" i="9"/>
  <c r="K149" i="9"/>
  <c r="L149" i="9" s="1"/>
  <c r="M149" i="9"/>
  <c r="K150" i="9"/>
  <c r="L150" i="9"/>
  <c r="M150" i="9"/>
  <c r="K151" i="9"/>
  <c r="L151" i="9"/>
  <c r="M151" i="9"/>
  <c r="K152" i="9"/>
  <c r="L152" i="9"/>
  <c r="M152" i="9"/>
  <c r="K153" i="9"/>
  <c r="L153" i="9" s="1"/>
  <c r="M153" i="9"/>
  <c r="K154" i="9"/>
  <c r="L154" i="9"/>
  <c r="M154" i="9"/>
  <c r="K155" i="9"/>
  <c r="L155" i="9"/>
  <c r="M155" i="9"/>
  <c r="K156" i="9"/>
  <c r="L156" i="9"/>
  <c r="M156" i="9"/>
  <c r="K157" i="9"/>
  <c r="L157" i="9" s="1"/>
  <c r="M157" i="9"/>
  <c r="K159" i="9"/>
  <c r="L159" i="9"/>
  <c r="M159" i="9"/>
  <c r="K160" i="9"/>
  <c r="L160" i="9"/>
  <c r="M160" i="9"/>
  <c r="K161" i="9"/>
  <c r="L161" i="9"/>
  <c r="M161" i="9"/>
  <c r="K162" i="9"/>
  <c r="L162" i="9" s="1"/>
  <c r="M162" i="9"/>
  <c r="K163" i="9"/>
  <c r="L163" i="9"/>
  <c r="M163" i="9"/>
  <c r="K165" i="9"/>
  <c r="L165" i="9"/>
  <c r="M165" i="9"/>
  <c r="K166" i="9"/>
  <c r="L166" i="9"/>
  <c r="M166" i="9"/>
  <c r="K167" i="9"/>
  <c r="L167" i="9" s="1"/>
  <c r="M167" i="9"/>
  <c r="K168" i="9"/>
  <c r="L168" i="9"/>
  <c r="M168" i="9"/>
  <c r="K170" i="9"/>
  <c r="L170" i="9"/>
  <c r="M170" i="9"/>
  <c r="K171" i="9"/>
  <c r="L171" i="9"/>
  <c r="M171" i="9"/>
  <c r="K172" i="9"/>
  <c r="L172" i="9" s="1"/>
  <c r="M172" i="9"/>
  <c r="K174" i="9"/>
  <c r="L174" i="9"/>
  <c r="M174" i="9"/>
  <c r="K175" i="9"/>
  <c r="L175" i="9"/>
  <c r="M175" i="9"/>
  <c r="K176" i="9"/>
  <c r="L176" i="9"/>
  <c r="M176" i="9"/>
  <c r="K178" i="9"/>
  <c r="L178" i="9" s="1"/>
  <c r="M178" i="9"/>
  <c r="K179" i="9"/>
  <c r="L179" i="9"/>
  <c r="M179" i="9"/>
  <c r="K181" i="9"/>
  <c r="L181" i="9"/>
  <c r="M181" i="9"/>
  <c r="K182" i="9"/>
  <c r="L182" i="9"/>
  <c r="M182" i="9"/>
  <c r="K183" i="9"/>
  <c r="L183" i="9" s="1"/>
  <c r="M183" i="9"/>
  <c r="K184" i="9"/>
  <c r="L184" i="9"/>
  <c r="M184" i="9"/>
  <c r="K185" i="9"/>
  <c r="L185" i="9"/>
  <c r="M185" i="9"/>
  <c r="K186" i="9"/>
  <c r="L186" i="9"/>
  <c r="M186" i="9"/>
  <c r="K187" i="9"/>
  <c r="L187" i="9" s="1"/>
  <c r="M187" i="9"/>
  <c r="K188" i="9"/>
  <c r="L188" i="9"/>
  <c r="M188" i="9"/>
  <c r="K189" i="9"/>
  <c r="L189" i="9"/>
  <c r="M189" i="9"/>
  <c r="K190" i="9"/>
  <c r="L190" i="9"/>
  <c r="M190" i="9"/>
  <c r="K191" i="9"/>
  <c r="L191" i="9" s="1"/>
  <c r="M191" i="9"/>
  <c r="K192" i="9"/>
  <c r="L192" i="9"/>
  <c r="M192" i="9"/>
  <c r="K193" i="9"/>
  <c r="L193" i="9"/>
  <c r="M193" i="9"/>
  <c r="K194" i="9"/>
  <c r="L194" i="9"/>
  <c r="M194" i="9"/>
  <c r="K195" i="9"/>
  <c r="L195" i="9" s="1"/>
  <c r="M195" i="9"/>
  <c r="K196" i="9"/>
  <c r="L196" i="9"/>
  <c r="M196" i="9"/>
  <c r="K197" i="9"/>
  <c r="L197" i="9"/>
  <c r="M197" i="9"/>
  <c r="M198" i="9"/>
  <c r="K199" i="9"/>
  <c r="L199" i="9"/>
  <c r="M199" i="9"/>
  <c r="K200" i="9"/>
  <c r="L200" i="9"/>
  <c r="M200" i="9"/>
  <c r="K202" i="9"/>
  <c r="L202" i="9" s="1"/>
  <c r="M202" i="9"/>
  <c r="K203" i="9"/>
  <c r="L203" i="9"/>
  <c r="M203" i="9"/>
  <c r="K204" i="9"/>
  <c r="L204" i="9"/>
  <c r="M204" i="9"/>
  <c r="K206" i="9"/>
  <c r="L206" i="9"/>
  <c r="M206" i="9"/>
  <c r="K207" i="9"/>
  <c r="L207" i="9" s="1"/>
  <c r="M207" i="9"/>
  <c r="K208" i="9"/>
  <c r="L208" i="9"/>
  <c r="M208" i="9"/>
  <c r="K210" i="9"/>
  <c r="L210" i="9"/>
  <c r="M210" i="9"/>
  <c r="K211" i="9"/>
  <c r="L211" i="9"/>
  <c r="M211" i="9"/>
  <c r="K212" i="9"/>
  <c r="L212" i="9" s="1"/>
  <c r="M212" i="9"/>
  <c r="K213" i="9"/>
  <c r="L213" i="9"/>
  <c r="M213" i="9"/>
  <c r="K215" i="9"/>
  <c r="L215" i="9"/>
  <c r="M215" i="9"/>
  <c r="K216" i="9"/>
  <c r="L216" i="9"/>
  <c r="M216" i="9"/>
  <c r="K217" i="9"/>
  <c r="L217" i="9" s="1"/>
  <c r="M217" i="9"/>
  <c r="K218" i="9"/>
  <c r="L218" i="9"/>
  <c r="M218" i="9"/>
  <c r="K219" i="9"/>
  <c r="L219" i="9"/>
  <c r="M219" i="9"/>
  <c r="K220" i="9"/>
  <c r="L220" i="9"/>
  <c r="M220" i="9"/>
  <c r="K221" i="9"/>
  <c r="L221" i="9" s="1"/>
  <c r="M221" i="9"/>
  <c r="K222" i="9"/>
  <c r="L222" i="9"/>
  <c r="M222" i="9"/>
  <c r="K224" i="9"/>
  <c r="L224" i="9"/>
  <c r="M224" i="9"/>
  <c r="K225" i="9"/>
  <c r="L225" i="9"/>
  <c r="M225" i="9"/>
  <c r="K226" i="9"/>
  <c r="L226" i="9" s="1"/>
  <c r="M226" i="9"/>
  <c r="K228" i="9"/>
  <c r="L228" i="9"/>
  <c r="M228" i="9"/>
  <c r="K229" i="9"/>
  <c r="L229" i="9"/>
  <c r="M229" i="9"/>
  <c r="K230" i="9"/>
  <c r="L230" i="9"/>
  <c r="M230" i="9"/>
  <c r="K232" i="9"/>
  <c r="L232" i="9" s="1"/>
  <c r="M232" i="9"/>
  <c r="K233" i="9"/>
  <c r="L233" i="9"/>
  <c r="M233" i="9"/>
  <c r="K234" i="9"/>
  <c r="L234" i="9"/>
  <c r="M234" i="9"/>
  <c r="K235" i="9"/>
  <c r="L235" i="9"/>
  <c r="M235" i="9"/>
  <c r="K237" i="9"/>
  <c r="L237" i="9" s="1"/>
  <c r="M237" i="9"/>
  <c r="K238" i="9"/>
  <c r="L238" i="9"/>
  <c r="M238" i="9"/>
  <c r="K239" i="9"/>
  <c r="L239" i="9"/>
  <c r="M239" i="9"/>
  <c r="K240" i="9"/>
  <c r="L240" i="9"/>
  <c r="M240" i="9"/>
  <c r="K241" i="9"/>
  <c r="L241" i="9" s="1"/>
  <c r="M241" i="9"/>
  <c r="K242" i="9"/>
  <c r="L242" i="9"/>
  <c r="M242" i="9"/>
  <c r="K244" i="9"/>
  <c r="L244" i="9"/>
  <c r="M244" i="9"/>
  <c r="K245" i="9"/>
  <c r="L245" i="9"/>
  <c r="M245" i="9"/>
  <c r="K247" i="9"/>
  <c r="L247" i="9" s="1"/>
  <c r="M247" i="9"/>
  <c r="K248" i="9"/>
  <c r="L248" i="9"/>
  <c r="M248" i="9"/>
  <c r="K250" i="9"/>
  <c r="L250" i="9"/>
  <c r="M250" i="9"/>
  <c r="K251" i="9"/>
  <c r="L251" i="9"/>
  <c r="M251" i="9"/>
  <c r="K252" i="9"/>
  <c r="L252" i="9" s="1"/>
  <c r="M252" i="9"/>
  <c r="K254" i="9"/>
  <c r="L254" i="9"/>
  <c r="M254" i="9"/>
  <c r="K255" i="9"/>
  <c r="L255" i="9"/>
  <c r="M255" i="9"/>
  <c r="K256" i="9"/>
  <c r="L256" i="9"/>
  <c r="M256" i="9"/>
  <c r="K258" i="9"/>
  <c r="L258" i="9" s="1"/>
  <c r="M258" i="9"/>
  <c r="K259" i="9"/>
  <c r="L259" i="9"/>
  <c r="M259" i="9"/>
  <c r="K260" i="9"/>
  <c r="L260" i="9"/>
  <c r="M260" i="9"/>
  <c r="K262" i="9"/>
  <c r="L262" i="9"/>
  <c r="M262" i="9"/>
  <c r="K263" i="9"/>
  <c r="L263" i="9" s="1"/>
  <c r="M263" i="9"/>
  <c r="K265" i="9"/>
  <c r="L265" i="9"/>
  <c r="M265" i="9"/>
  <c r="X3" i="24"/>
  <c r="Y3" i="24"/>
  <c r="AA3" i="24"/>
  <c r="AD3" i="24"/>
  <c r="AE3" i="24"/>
  <c r="AB3" i="24" s="1"/>
  <c r="F4" i="24"/>
  <c r="I4" i="24"/>
  <c r="J4" i="24" s="1"/>
  <c r="K4" i="24" s="1"/>
  <c r="G4" i="24" s="1"/>
  <c r="H4" i="24" s="1"/>
  <c r="X7" i="24"/>
  <c r="Y7" i="24"/>
  <c r="AA7" i="24" s="1"/>
  <c r="AD7" i="24"/>
  <c r="AE7" i="24" s="1"/>
  <c r="AB7" i="24" s="1"/>
  <c r="AC7" i="24" s="1"/>
  <c r="F10" i="24"/>
  <c r="G10" i="24"/>
  <c r="H10" i="24"/>
  <c r="I10" i="24"/>
  <c r="J10" i="24"/>
  <c r="K10" i="24"/>
  <c r="W27" i="24"/>
  <c r="AH28" i="24" s="1"/>
  <c r="AI28" i="24" s="1"/>
  <c r="X27" i="24"/>
  <c r="AH27" i="24"/>
  <c r="AB27" i="24" s="1"/>
  <c r="H35" i="24"/>
  <c r="H36" i="24"/>
  <c r="C39" i="24"/>
  <c r="C40" i="24"/>
  <c r="C41" i="24"/>
  <c r="C43" i="24"/>
  <c r="H43" i="24"/>
  <c r="H44" i="24"/>
  <c r="C53" i="24"/>
  <c r="C63" i="24"/>
  <c r="C73" i="24"/>
  <c r="C74" i="24"/>
  <c r="C88" i="24"/>
  <c r="H88" i="24"/>
  <c r="C90" i="24"/>
  <c r="H90" i="24"/>
  <c r="C92" i="24"/>
  <c r="H92" i="24"/>
  <c r="AL94" i="24"/>
  <c r="AM94" i="24"/>
  <c r="AL95" i="24"/>
  <c r="AM95" i="24"/>
  <c r="AL96" i="24"/>
  <c r="AM96" i="24"/>
  <c r="AL97" i="24"/>
  <c r="AM97" i="24"/>
  <c r="E98" i="24"/>
  <c r="M98" i="24"/>
  <c r="AL98" i="24"/>
  <c r="AM98" i="24"/>
  <c r="AL100" i="24"/>
  <c r="AL102" i="24" s="1"/>
  <c r="AL103" i="24" s="1"/>
  <c r="C113" i="24" s="1"/>
  <c r="C114" i="24" s="1"/>
  <c r="AL101" i="24"/>
  <c r="AL105" i="24"/>
  <c r="AM105" i="24"/>
  <c r="AL106" i="24"/>
  <c r="AM106" i="24"/>
  <c r="E107" i="24"/>
  <c r="M107" i="24"/>
  <c r="AL107" i="24"/>
  <c r="AM107" i="24"/>
  <c r="AL108" i="24"/>
  <c r="AM108" i="24"/>
  <c r="AL112" i="24" s="1"/>
  <c r="AL113" i="24" s="1"/>
  <c r="AL114" i="24" s="1"/>
  <c r="H113" i="24" s="1"/>
  <c r="H114" i="24" s="1"/>
  <c r="AL109" i="24"/>
  <c r="AM109" i="24"/>
  <c r="AL111" i="24"/>
  <c r="T5" i="12" l="1"/>
  <c r="AA5" i="12"/>
  <c r="Y5" i="12"/>
  <c r="Y6" i="12" s="1"/>
  <c r="Y7" i="12" s="1"/>
  <c r="Y8" i="12" s="1"/>
  <c r="Y9" i="12" s="1"/>
  <c r="L4" i="12" s="1"/>
  <c r="H25" i="22"/>
  <c r="I25" i="22"/>
  <c r="G186" i="15"/>
  <c r="N174" i="15" s="1"/>
  <c r="O174" i="15" s="1"/>
  <c r="S184" i="15"/>
  <c r="X114" i="15"/>
  <c r="V114" i="15"/>
  <c r="AC3" i="24"/>
  <c r="G27" i="24"/>
  <c r="H27" i="24" s="1"/>
  <c r="N25" i="14"/>
  <c r="M27" i="14"/>
  <c r="N27" i="14" s="1"/>
  <c r="Y114" i="15"/>
  <c r="H108" i="15" s="1"/>
  <c r="S142" i="15"/>
  <c r="S143" i="15" s="1"/>
  <c r="N103" i="15"/>
  <c r="O103" i="15" s="1"/>
  <c r="S108" i="15"/>
  <c r="G19" i="15"/>
  <c r="N7" i="15" s="1"/>
  <c r="O7" i="15" s="1"/>
  <c r="S17" i="15"/>
  <c r="R22" i="28"/>
  <c r="AW26" i="22"/>
  <c r="G26" i="22" s="1"/>
  <c r="N1097" i="30"/>
  <c r="E1097" i="30"/>
  <c r="N1096" i="30"/>
  <c r="E1096" i="30"/>
  <c r="N1095" i="30"/>
  <c r="E1095" i="30"/>
  <c r="N1094" i="30"/>
  <c r="E1094" i="30"/>
  <c r="N1093" i="30"/>
  <c r="E1093" i="30"/>
  <c r="N1092" i="30"/>
  <c r="E1092" i="30"/>
  <c r="N1091" i="30"/>
  <c r="E1091" i="30"/>
  <c r="N1090" i="30"/>
  <c r="E1090" i="30"/>
  <c r="N1089" i="30"/>
  <c r="E1089" i="30"/>
  <c r="N1088" i="30"/>
  <c r="E1088" i="30"/>
  <c r="N1087" i="30"/>
  <c r="E1087" i="30"/>
  <c r="N1086" i="30"/>
  <c r="E1086" i="30"/>
  <c r="N1085" i="30"/>
  <c r="E1085" i="30"/>
  <c r="N1084" i="30"/>
  <c r="E1084" i="30"/>
  <c r="N1083" i="30"/>
  <c r="E1083" i="30"/>
  <c r="N1082" i="30"/>
  <c r="E1082" i="30"/>
  <c r="N1081" i="30"/>
  <c r="E1081" i="30"/>
  <c r="N1080" i="30"/>
  <c r="E1080" i="30"/>
  <c r="N1079" i="30"/>
  <c r="E1079" i="30"/>
  <c r="N1078" i="30"/>
  <c r="E1078" i="30"/>
  <c r="N1077" i="30"/>
  <c r="E1077" i="30"/>
  <c r="N1076" i="30"/>
  <c r="E1076" i="30"/>
  <c r="N1075" i="30"/>
  <c r="E1075" i="30"/>
  <c r="N1074" i="30"/>
  <c r="E1074" i="30"/>
  <c r="N1073" i="30"/>
  <c r="E1073" i="30"/>
  <c r="N1072" i="30"/>
  <c r="E1072" i="30"/>
  <c r="N1071" i="30"/>
  <c r="E1071" i="30"/>
  <c r="N1070" i="30"/>
  <c r="E1070" i="30"/>
  <c r="N1069" i="30"/>
  <c r="E1069" i="30"/>
  <c r="N1068" i="30"/>
  <c r="E1068" i="30"/>
  <c r="N1067" i="30"/>
  <c r="E1067" i="30"/>
  <c r="N1066" i="30"/>
  <c r="E1066" i="30"/>
  <c r="N1065" i="30"/>
  <c r="E1065" i="30"/>
  <c r="N1064" i="30"/>
  <c r="E1064" i="30"/>
  <c r="N1063" i="30"/>
  <c r="E1063" i="30"/>
  <c r="N1062" i="30"/>
  <c r="E1062" i="30"/>
  <c r="N1061" i="30"/>
  <c r="E1061" i="30"/>
  <c r="N1060" i="30"/>
  <c r="E1060" i="30"/>
  <c r="N1059" i="30"/>
  <c r="E1059" i="30"/>
  <c r="N1058" i="30"/>
  <c r="E1058" i="30"/>
  <c r="N1057" i="30"/>
  <c r="E1057" i="30"/>
  <c r="N1056" i="30"/>
  <c r="E1056" i="30"/>
  <c r="N1055" i="30"/>
  <c r="E1055" i="30"/>
  <c r="N1054" i="30"/>
  <c r="E1054" i="30"/>
  <c r="N1053" i="30"/>
  <c r="E1053" i="30"/>
  <c r="N1052" i="30"/>
  <c r="E1052" i="30"/>
  <c r="N1051" i="30"/>
  <c r="E1051" i="30"/>
  <c r="N1050" i="30"/>
  <c r="E1050" i="30"/>
  <c r="N1049" i="30"/>
  <c r="E1049" i="30"/>
  <c r="N1048" i="30"/>
  <c r="E1048" i="30"/>
  <c r="N1047" i="30"/>
  <c r="E1047" i="30"/>
  <c r="N1046" i="30"/>
  <c r="E1046" i="30"/>
  <c r="N1045" i="30"/>
  <c r="E1045" i="30"/>
  <c r="N1044" i="30"/>
  <c r="E1044" i="30"/>
  <c r="N1043" i="30"/>
  <c r="E1043" i="30"/>
  <c r="N1042" i="30"/>
  <c r="E1042" i="30"/>
  <c r="N1041" i="30"/>
  <c r="E1041" i="30"/>
  <c r="N1040" i="30"/>
  <c r="E1040" i="30"/>
  <c r="N1039" i="30"/>
  <c r="E1039" i="30"/>
  <c r="N1038" i="30"/>
  <c r="E1038" i="30"/>
  <c r="N1037" i="30"/>
  <c r="E1037" i="30"/>
  <c r="N1036" i="30"/>
  <c r="E1036" i="30"/>
  <c r="N1035" i="30"/>
  <c r="E1035" i="30"/>
  <c r="N1034" i="30"/>
  <c r="E1034" i="30"/>
  <c r="N1033" i="30"/>
  <c r="E1033" i="30"/>
  <c r="N1032" i="30"/>
  <c r="E1032" i="30"/>
  <c r="N1031" i="30"/>
  <c r="E1031" i="30"/>
  <c r="N1030" i="30"/>
  <c r="E1030" i="30"/>
  <c r="N1029" i="30"/>
  <c r="E1029" i="30"/>
  <c r="N1028" i="30"/>
  <c r="E1028" i="30"/>
  <c r="N1027" i="30"/>
  <c r="E1027" i="30"/>
  <c r="N1026" i="30"/>
  <c r="E1026" i="30"/>
  <c r="N1025" i="30"/>
  <c r="E1025" i="30"/>
  <c r="N1024" i="30"/>
  <c r="E1024" i="30"/>
  <c r="N1023" i="30"/>
  <c r="E1023" i="30"/>
  <c r="N1022" i="30"/>
  <c r="E1022" i="30"/>
  <c r="N1021" i="30"/>
  <c r="E1021" i="30"/>
  <c r="N1020" i="30"/>
  <c r="E1020" i="30"/>
  <c r="N1019" i="30"/>
  <c r="E1019" i="30"/>
  <c r="N1018" i="30"/>
  <c r="E1018" i="30"/>
  <c r="N1017" i="30"/>
  <c r="E1017" i="30"/>
  <c r="N1016" i="30"/>
  <c r="E1016" i="30"/>
  <c r="N1015" i="30"/>
  <c r="E1015" i="30"/>
  <c r="N1014" i="30"/>
  <c r="E1014" i="30"/>
  <c r="N1013" i="30"/>
  <c r="E1013" i="30"/>
  <c r="N1012" i="30"/>
  <c r="E1012" i="30"/>
  <c r="N1011" i="30"/>
  <c r="E1011" i="30"/>
  <c r="N1010" i="30"/>
  <c r="E1010" i="30"/>
  <c r="N1009" i="30"/>
  <c r="E1009" i="30"/>
  <c r="N1008" i="30"/>
  <c r="E1008" i="30"/>
  <c r="N1007" i="30"/>
  <c r="E1007" i="30"/>
  <c r="N1006" i="30"/>
  <c r="E1006" i="30"/>
  <c r="N1005" i="30"/>
  <c r="E1005" i="30"/>
  <c r="N1004" i="30"/>
  <c r="E1004" i="30"/>
  <c r="N1003" i="30"/>
  <c r="E1003" i="30"/>
  <c r="N1002" i="30"/>
  <c r="E1002" i="30"/>
  <c r="N1001" i="30"/>
  <c r="E1001" i="30"/>
  <c r="N1000" i="30"/>
  <c r="E1000" i="30"/>
  <c r="N999" i="30"/>
  <c r="E999" i="30"/>
  <c r="N998" i="30"/>
  <c r="E998" i="30"/>
  <c r="N997" i="30"/>
  <c r="E997" i="30"/>
  <c r="N996" i="30"/>
  <c r="E996" i="30"/>
  <c r="N995" i="30"/>
  <c r="E995" i="30"/>
  <c r="N994" i="30"/>
  <c r="E994" i="30"/>
  <c r="N993" i="30"/>
  <c r="E904" i="30"/>
  <c r="G904" i="30"/>
  <c r="E902" i="30"/>
  <c r="G902" i="30"/>
  <c r="E900" i="30"/>
  <c r="G900" i="30"/>
  <c r="E898" i="30"/>
  <c r="G898" i="30"/>
  <c r="E896" i="30"/>
  <c r="G896" i="30"/>
  <c r="E894" i="30"/>
  <c r="G894" i="30"/>
  <c r="E892" i="30"/>
  <c r="G892" i="30"/>
  <c r="E890" i="30"/>
  <c r="G890" i="30"/>
  <c r="E888" i="30"/>
  <c r="G888" i="30"/>
  <c r="E886" i="30"/>
  <c r="G886" i="30"/>
  <c r="E884" i="30"/>
  <c r="G884" i="30"/>
  <c r="E882" i="30"/>
  <c r="G882" i="30"/>
  <c r="E880" i="30"/>
  <c r="G880" i="30"/>
  <c r="E878" i="30"/>
  <c r="G878" i="30"/>
  <c r="E876" i="30"/>
  <c r="G876" i="30"/>
  <c r="E874" i="30"/>
  <c r="G874" i="30"/>
  <c r="E872" i="30"/>
  <c r="G872" i="30"/>
  <c r="E870" i="30"/>
  <c r="G870" i="30"/>
  <c r="E868" i="30"/>
  <c r="G868" i="30"/>
  <c r="E866" i="30"/>
  <c r="G866" i="30"/>
  <c r="E864" i="30"/>
  <c r="G864" i="30"/>
  <c r="E862" i="30"/>
  <c r="G862" i="30"/>
  <c r="E860" i="30"/>
  <c r="G860" i="30"/>
  <c r="E858" i="30"/>
  <c r="G858" i="30"/>
  <c r="E856" i="30"/>
  <c r="G856" i="30"/>
  <c r="E854" i="30"/>
  <c r="G854" i="30"/>
  <c r="E852" i="30"/>
  <c r="G852" i="30"/>
  <c r="E850" i="30"/>
  <c r="G850" i="30"/>
  <c r="E848" i="30"/>
  <c r="G848" i="30"/>
  <c r="E846" i="30"/>
  <c r="G846" i="30"/>
  <c r="E844" i="30"/>
  <c r="G844" i="30"/>
  <c r="E842" i="30"/>
  <c r="G842" i="30"/>
  <c r="E840" i="30"/>
  <c r="G840" i="30"/>
  <c r="E838" i="30"/>
  <c r="G838" i="30"/>
  <c r="E836" i="30"/>
  <c r="G836" i="30"/>
  <c r="E834" i="30"/>
  <c r="G834" i="30"/>
  <c r="E832" i="30"/>
  <c r="G832" i="30"/>
  <c r="E830" i="30"/>
  <c r="G830" i="30"/>
  <c r="E828" i="30"/>
  <c r="G828" i="30"/>
  <c r="E826" i="30"/>
  <c r="G826" i="30"/>
  <c r="E824" i="30"/>
  <c r="G824" i="30"/>
  <c r="E822" i="30"/>
  <c r="G822" i="30"/>
  <c r="E820" i="30"/>
  <c r="G820" i="30"/>
  <c r="E818" i="30"/>
  <c r="G818" i="30"/>
  <c r="E816" i="30"/>
  <c r="G816" i="30"/>
  <c r="E814" i="30"/>
  <c r="G814" i="30"/>
  <c r="E812" i="30"/>
  <c r="G812" i="30"/>
  <c r="E810" i="30"/>
  <c r="G810" i="30"/>
  <c r="E808" i="30"/>
  <c r="G808" i="30"/>
  <c r="E806" i="30"/>
  <c r="G806" i="30"/>
  <c r="E804" i="30"/>
  <c r="G804" i="30"/>
  <c r="E802" i="30"/>
  <c r="G802" i="30"/>
  <c r="E800" i="30"/>
  <c r="G800" i="30"/>
  <c r="E798" i="30"/>
  <c r="G798" i="30"/>
  <c r="E796" i="30"/>
  <c r="G796" i="30"/>
  <c r="E794" i="30"/>
  <c r="G794" i="30"/>
  <c r="E792" i="30"/>
  <c r="G792" i="30"/>
  <c r="E790" i="30"/>
  <c r="G790" i="30"/>
  <c r="E788" i="30"/>
  <c r="G788" i="30"/>
  <c r="E786" i="30"/>
  <c r="G786" i="30"/>
  <c r="E784" i="30"/>
  <c r="G784" i="30"/>
  <c r="E782" i="30"/>
  <c r="G782" i="30"/>
  <c r="E780" i="30"/>
  <c r="G780" i="30"/>
  <c r="E778" i="30"/>
  <c r="G778" i="30"/>
  <c r="E776" i="30"/>
  <c r="G776" i="30"/>
  <c r="E774" i="30"/>
  <c r="G774" i="30"/>
  <c r="E772" i="30"/>
  <c r="G772" i="30"/>
  <c r="E770" i="30"/>
  <c r="G770" i="30"/>
  <c r="E768" i="30"/>
  <c r="G768" i="30"/>
  <c r="E766" i="30"/>
  <c r="G766" i="30"/>
  <c r="E764" i="30"/>
  <c r="G764" i="30"/>
  <c r="E762" i="30"/>
  <c r="G762" i="30"/>
  <c r="E760" i="30"/>
  <c r="G760" i="30"/>
  <c r="E758" i="30"/>
  <c r="G758" i="30"/>
  <c r="E756" i="30"/>
  <c r="G756" i="30"/>
  <c r="E754" i="30"/>
  <c r="G754" i="30"/>
  <c r="E753" i="30"/>
  <c r="G753" i="30"/>
  <c r="E746" i="30"/>
  <c r="G746" i="30"/>
  <c r="E745" i="30"/>
  <c r="G745" i="30"/>
  <c r="E738" i="30"/>
  <c r="G738" i="30"/>
  <c r="E737" i="30"/>
  <c r="G737" i="30"/>
  <c r="E730" i="30"/>
  <c r="G730" i="30"/>
  <c r="E729" i="30"/>
  <c r="G729" i="30"/>
  <c r="E722" i="30"/>
  <c r="G722" i="30"/>
  <c r="E721" i="30"/>
  <c r="G721" i="30"/>
  <c r="E714" i="30"/>
  <c r="G714" i="30"/>
  <c r="E713" i="30"/>
  <c r="G713" i="30"/>
  <c r="E706" i="30"/>
  <c r="G706" i="30"/>
  <c r="E705" i="30"/>
  <c r="G705" i="30"/>
  <c r="E698" i="30"/>
  <c r="G698" i="30"/>
  <c r="N905" i="30"/>
  <c r="O905" i="30"/>
  <c r="N903" i="30"/>
  <c r="O903" i="30"/>
  <c r="N901" i="30"/>
  <c r="O901" i="30"/>
  <c r="N899" i="30"/>
  <c r="O899" i="30"/>
  <c r="N897" i="30"/>
  <c r="O897" i="30"/>
  <c r="N895" i="30"/>
  <c r="O895" i="30"/>
  <c r="N893" i="30"/>
  <c r="O893" i="30"/>
  <c r="N891" i="30"/>
  <c r="O891" i="30"/>
  <c r="N889" i="30"/>
  <c r="O889" i="30"/>
  <c r="N887" i="30"/>
  <c r="O887" i="30"/>
  <c r="N885" i="30"/>
  <c r="O885" i="30"/>
  <c r="N883" i="30"/>
  <c r="O883" i="30"/>
  <c r="N881" i="30"/>
  <c r="O881" i="30"/>
  <c r="N879" i="30"/>
  <c r="O879" i="30"/>
  <c r="N877" i="30"/>
  <c r="O877" i="30"/>
  <c r="N875" i="30"/>
  <c r="O875" i="30"/>
  <c r="N873" i="30"/>
  <c r="O873" i="30"/>
  <c r="N871" i="30"/>
  <c r="O871" i="30"/>
  <c r="N869" i="30"/>
  <c r="O869" i="30"/>
  <c r="N867" i="30"/>
  <c r="O867" i="30"/>
  <c r="N865" i="30"/>
  <c r="O865" i="30"/>
  <c r="N863" i="30"/>
  <c r="O863" i="30"/>
  <c r="N861" i="30"/>
  <c r="O861" i="30"/>
  <c r="N859" i="30"/>
  <c r="O859" i="30"/>
  <c r="N857" i="30"/>
  <c r="O857" i="30"/>
  <c r="N855" i="30"/>
  <c r="O855" i="30"/>
  <c r="N853" i="30"/>
  <c r="O853" i="30"/>
  <c r="N851" i="30"/>
  <c r="O851" i="30"/>
  <c r="N849" i="30"/>
  <c r="O849" i="30"/>
  <c r="N847" i="30"/>
  <c r="O847" i="30"/>
  <c r="N845" i="30"/>
  <c r="O845" i="30"/>
  <c r="N843" i="30"/>
  <c r="O843" i="30"/>
  <c r="N841" i="30"/>
  <c r="O841" i="30"/>
  <c r="N839" i="30"/>
  <c r="O839" i="30"/>
  <c r="N837" i="30"/>
  <c r="O837" i="30"/>
  <c r="N835" i="30"/>
  <c r="O835" i="30"/>
  <c r="N833" i="30"/>
  <c r="O833" i="30"/>
  <c r="N831" i="30"/>
  <c r="O831" i="30"/>
  <c r="N829" i="30"/>
  <c r="O829" i="30"/>
  <c r="N827" i="30"/>
  <c r="O827" i="30"/>
  <c r="N825" i="30"/>
  <c r="O825" i="30"/>
  <c r="N823" i="30"/>
  <c r="O823" i="30"/>
  <c r="N821" i="30"/>
  <c r="O821" i="30"/>
  <c r="N819" i="30"/>
  <c r="O819" i="30"/>
  <c r="N817" i="30"/>
  <c r="O817" i="30"/>
  <c r="N815" i="30"/>
  <c r="O815" i="30"/>
  <c r="N813" i="30"/>
  <c r="O813" i="30"/>
  <c r="N811" i="30"/>
  <c r="O811" i="30"/>
  <c r="N809" i="30"/>
  <c r="O809" i="30"/>
  <c r="N807" i="30"/>
  <c r="O807" i="30"/>
  <c r="N805" i="30"/>
  <c r="O805" i="30"/>
  <c r="N803" i="30"/>
  <c r="O803" i="30"/>
  <c r="N801" i="30"/>
  <c r="O801" i="30"/>
  <c r="N799" i="30"/>
  <c r="O799" i="30"/>
  <c r="N797" i="30"/>
  <c r="O797" i="30"/>
  <c r="N795" i="30"/>
  <c r="O795" i="30"/>
  <c r="N793" i="30"/>
  <c r="O793" i="30"/>
  <c r="N791" i="30"/>
  <c r="O791" i="30"/>
  <c r="N789" i="30"/>
  <c r="O789" i="30"/>
  <c r="N787" i="30"/>
  <c r="O787" i="30"/>
  <c r="N785" i="30"/>
  <c r="O785" i="30"/>
  <c r="N783" i="30"/>
  <c r="O783" i="30"/>
  <c r="N781" i="30"/>
  <c r="O781" i="30"/>
  <c r="N779" i="30"/>
  <c r="O779" i="30"/>
  <c r="N777" i="30"/>
  <c r="O777" i="30"/>
  <c r="N775" i="30"/>
  <c r="O775" i="30"/>
  <c r="N773" i="30"/>
  <c r="O773" i="30"/>
  <c r="N771" i="30"/>
  <c r="O771" i="30"/>
  <c r="N769" i="30"/>
  <c r="O769" i="30"/>
  <c r="N767" i="30"/>
  <c r="O767" i="30"/>
  <c r="N765" i="30"/>
  <c r="O765" i="30"/>
  <c r="N763" i="30"/>
  <c r="O763" i="30"/>
  <c r="N761" i="30"/>
  <c r="O761" i="30"/>
  <c r="N759" i="30"/>
  <c r="O759" i="30"/>
  <c r="N757" i="30"/>
  <c r="O757" i="30"/>
  <c r="N755" i="30"/>
  <c r="O755" i="30"/>
  <c r="E748" i="30"/>
  <c r="G748" i="30"/>
  <c r="E747" i="30"/>
  <c r="G747" i="30"/>
  <c r="E740" i="30"/>
  <c r="G740" i="30"/>
  <c r="E739" i="30"/>
  <c r="G739" i="30"/>
  <c r="E732" i="30"/>
  <c r="G732" i="30"/>
  <c r="E731" i="30"/>
  <c r="G731" i="30"/>
  <c r="E724" i="30"/>
  <c r="G724" i="30"/>
  <c r="E723" i="30"/>
  <c r="G723" i="30"/>
  <c r="E716" i="30"/>
  <c r="G716" i="30"/>
  <c r="E715" i="30"/>
  <c r="G715" i="30"/>
  <c r="E708" i="30"/>
  <c r="G708" i="30"/>
  <c r="E707" i="30"/>
  <c r="G707" i="30"/>
  <c r="E700" i="30"/>
  <c r="G700" i="30"/>
  <c r="E699" i="30"/>
  <c r="G699" i="30"/>
  <c r="U22" i="28"/>
  <c r="K27" i="14"/>
  <c r="L27" i="14" s="1"/>
  <c r="M20" i="14"/>
  <c r="N20" i="14" s="1"/>
  <c r="X182" i="15"/>
  <c r="T146" i="15"/>
  <c r="S111" i="15"/>
  <c r="T111" i="15" s="1"/>
  <c r="T112" i="15" s="1"/>
  <c r="S112" i="15" s="1"/>
  <c r="G104" i="15" s="1"/>
  <c r="U83" i="15"/>
  <c r="V83" i="15" s="1"/>
  <c r="V85" i="15" s="1"/>
  <c r="U85" i="15" s="1"/>
  <c r="U77" i="15"/>
  <c r="X15" i="15"/>
  <c r="G993" i="30"/>
  <c r="G991" i="30"/>
  <c r="G989" i="30"/>
  <c r="N987" i="30"/>
  <c r="N986" i="30"/>
  <c r="N985" i="30"/>
  <c r="N984" i="30"/>
  <c r="N983" i="30"/>
  <c r="N982" i="30"/>
  <c r="N981" i="30"/>
  <c r="N980" i="30"/>
  <c r="N979" i="30"/>
  <c r="N978" i="30"/>
  <c r="N977" i="30"/>
  <c r="N976" i="30"/>
  <c r="N975" i="30"/>
  <c r="N974" i="30"/>
  <c r="N973" i="30"/>
  <c r="N972" i="30"/>
  <c r="N971" i="30"/>
  <c r="N970" i="30"/>
  <c r="N969" i="30"/>
  <c r="N968" i="30"/>
  <c r="N967" i="30"/>
  <c r="N966" i="30"/>
  <c r="N965" i="30"/>
  <c r="N964" i="30"/>
  <c r="N963" i="30"/>
  <c r="N962" i="30"/>
  <c r="N961" i="30"/>
  <c r="N960" i="30"/>
  <c r="N959" i="30"/>
  <c r="N958" i="30"/>
  <c r="N957" i="30"/>
  <c r="N956" i="30"/>
  <c r="N955" i="30"/>
  <c r="N954" i="30"/>
  <c r="N953" i="30"/>
  <c r="N952" i="30"/>
  <c r="N951" i="30"/>
  <c r="N950" i="30"/>
  <c r="N949" i="30"/>
  <c r="N948" i="30"/>
  <c r="N947" i="30"/>
  <c r="N946" i="30"/>
  <c r="N945" i="30"/>
  <c r="N944" i="30"/>
  <c r="N943" i="30"/>
  <c r="N942" i="30"/>
  <c r="N941" i="30"/>
  <c r="N940" i="30"/>
  <c r="N939" i="30"/>
  <c r="N938" i="30"/>
  <c r="N937" i="30"/>
  <c r="N936" i="30"/>
  <c r="N935" i="30"/>
  <c r="N934" i="30"/>
  <c r="N933" i="30"/>
  <c r="N932" i="30"/>
  <c r="N931" i="30"/>
  <c r="N930" i="30"/>
  <c r="N929" i="30"/>
  <c r="N928" i="30"/>
  <c r="N927" i="30"/>
  <c r="N926" i="30"/>
  <c r="N925" i="30"/>
  <c r="N924" i="30"/>
  <c r="N923" i="30"/>
  <c r="N922" i="30"/>
  <c r="N921" i="30"/>
  <c r="N920" i="30"/>
  <c r="N919" i="30"/>
  <c r="N918" i="30"/>
  <c r="N917" i="30"/>
  <c r="N916" i="30"/>
  <c r="N915" i="30"/>
  <c r="N914" i="30"/>
  <c r="N913" i="30"/>
  <c r="N912" i="30"/>
  <c r="N911" i="30"/>
  <c r="N910" i="30"/>
  <c r="N909" i="30"/>
  <c r="N908" i="30"/>
  <c r="N907" i="30"/>
  <c r="E905" i="30"/>
  <c r="G905" i="30"/>
  <c r="E903" i="30"/>
  <c r="G903" i="30"/>
  <c r="E901" i="30"/>
  <c r="G901" i="30"/>
  <c r="E899" i="30"/>
  <c r="G899" i="30"/>
  <c r="E897" i="30"/>
  <c r="G897" i="30"/>
  <c r="E895" i="30"/>
  <c r="G895" i="30"/>
  <c r="E893" i="30"/>
  <c r="G893" i="30"/>
  <c r="E891" i="30"/>
  <c r="G891" i="30"/>
  <c r="E889" i="30"/>
  <c r="G889" i="30"/>
  <c r="E887" i="30"/>
  <c r="G887" i="30"/>
  <c r="E885" i="30"/>
  <c r="G885" i="30"/>
  <c r="E883" i="30"/>
  <c r="G883" i="30"/>
  <c r="E881" i="30"/>
  <c r="G881" i="30"/>
  <c r="E879" i="30"/>
  <c r="G879" i="30"/>
  <c r="E877" i="30"/>
  <c r="G877" i="30"/>
  <c r="E875" i="30"/>
  <c r="G875" i="30"/>
  <c r="E873" i="30"/>
  <c r="G873" i="30"/>
  <c r="E871" i="30"/>
  <c r="G871" i="30"/>
  <c r="E869" i="30"/>
  <c r="G869" i="30"/>
  <c r="E867" i="30"/>
  <c r="G867" i="30"/>
  <c r="E865" i="30"/>
  <c r="G865" i="30"/>
  <c r="E863" i="30"/>
  <c r="G863" i="30"/>
  <c r="E861" i="30"/>
  <c r="G861" i="30"/>
  <c r="E859" i="30"/>
  <c r="G859" i="30"/>
  <c r="E857" i="30"/>
  <c r="G857" i="30"/>
  <c r="E855" i="30"/>
  <c r="G855" i="30"/>
  <c r="E853" i="30"/>
  <c r="G853" i="30"/>
  <c r="E851" i="30"/>
  <c r="G851" i="30"/>
  <c r="E849" i="30"/>
  <c r="G849" i="30"/>
  <c r="E847" i="30"/>
  <c r="G847" i="30"/>
  <c r="E845" i="30"/>
  <c r="G845" i="30"/>
  <c r="E843" i="30"/>
  <c r="G843" i="30"/>
  <c r="E841" i="30"/>
  <c r="G841" i="30"/>
  <c r="E839" i="30"/>
  <c r="G839" i="30"/>
  <c r="E837" i="30"/>
  <c r="G837" i="30"/>
  <c r="E835" i="30"/>
  <c r="G835" i="30"/>
  <c r="E833" i="30"/>
  <c r="G833" i="30"/>
  <c r="E831" i="30"/>
  <c r="G831" i="30"/>
  <c r="E829" i="30"/>
  <c r="G829" i="30"/>
  <c r="E827" i="30"/>
  <c r="G827" i="30"/>
  <c r="E825" i="30"/>
  <c r="G825" i="30"/>
  <c r="E823" i="30"/>
  <c r="G823" i="30"/>
  <c r="E821" i="30"/>
  <c r="G821" i="30"/>
  <c r="E819" i="30"/>
  <c r="G819" i="30"/>
  <c r="E817" i="30"/>
  <c r="G817" i="30"/>
  <c r="E815" i="30"/>
  <c r="G815" i="30"/>
  <c r="E813" i="30"/>
  <c r="G813" i="30"/>
  <c r="E811" i="30"/>
  <c r="G811" i="30"/>
  <c r="E809" i="30"/>
  <c r="G809" i="30"/>
  <c r="E807" i="30"/>
  <c r="G807" i="30"/>
  <c r="E805" i="30"/>
  <c r="G805" i="30"/>
  <c r="E803" i="30"/>
  <c r="G803" i="30"/>
  <c r="E801" i="30"/>
  <c r="G801" i="30"/>
  <c r="E799" i="30"/>
  <c r="G799" i="30"/>
  <c r="E797" i="30"/>
  <c r="G797" i="30"/>
  <c r="E795" i="30"/>
  <c r="G795" i="30"/>
  <c r="E793" i="30"/>
  <c r="G793" i="30"/>
  <c r="E791" i="30"/>
  <c r="G791" i="30"/>
  <c r="E789" i="30"/>
  <c r="G789" i="30"/>
  <c r="E787" i="30"/>
  <c r="G787" i="30"/>
  <c r="E785" i="30"/>
  <c r="G785" i="30"/>
  <c r="E783" i="30"/>
  <c r="G783" i="30"/>
  <c r="E781" i="30"/>
  <c r="G781" i="30"/>
  <c r="E779" i="30"/>
  <c r="G779" i="30"/>
  <c r="E777" i="30"/>
  <c r="G777" i="30"/>
  <c r="E775" i="30"/>
  <c r="G775" i="30"/>
  <c r="E773" i="30"/>
  <c r="G773" i="30"/>
  <c r="E771" i="30"/>
  <c r="G771" i="30"/>
  <c r="E769" i="30"/>
  <c r="G769" i="30"/>
  <c r="E767" i="30"/>
  <c r="G767" i="30"/>
  <c r="E765" i="30"/>
  <c r="G765" i="30"/>
  <c r="E763" i="30"/>
  <c r="G763" i="30"/>
  <c r="E761" i="30"/>
  <c r="G761" i="30"/>
  <c r="E759" i="30"/>
  <c r="G759" i="30"/>
  <c r="E757" i="30"/>
  <c r="G757" i="30"/>
  <c r="E755" i="30"/>
  <c r="G755" i="30"/>
  <c r="E750" i="30"/>
  <c r="G750" i="30"/>
  <c r="E749" i="30"/>
  <c r="G749" i="30"/>
  <c r="E742" i="30"/>
  <c r="G742" i="30"/>
  <c r="E741" i="30"/>
  <c r="G741" i="30"/>
  <c r="E734" i="30"/>
  <c r="G734" i="30"/>
  <c r="E733" i="30"/>
  <c r="G733" i="30"/>
  <c r="E726" i="30"/>
  <c r="G726" i="30"/>
  <c r="E725" i="30"/>
  <c r="G725" i="30"/>
  <c r="E718" i="30"/>
  <c r="G718" i="30"/>
  <c r="E717" i="30"/>
  <c r="G717" i="30"/>
  <c r="E710" i="30"/>
  <c r="G710" i="30"/>
  <c r="E709" i="30"/>
  <c r="G709" i="30"/>
  <c r="E702" i="30"/>
  <c r="G702" i="30"/>
  <c r="E701" i="30"/>
  <c r="G701" i="30"/>
  <c r="AA27" i="24"/>
  <c r="AD27" i="24" s="1"/>
  <c r="AI27" i="24"/>
  <c r="AI29" i="24" s="1"/>
  <c r="Y27" i="24" s="1"/>
  <c r="Z6" i="12"/>
  <c r="U40" i="15"/>
  <c r="N904" i="30"/>
  <c r="O904" i="30"/>
  <c r="N902" i="30"/>
  <c r="O902" i="30"/>
  <c r="N900" i="30"/>
  <c r="O900" i="30"/>
  <c r="N898" i="30"/>
  <c r="O898" i="30"/>
  <c r="N896" i="30"/>
  <c r="O896" i="30"/>
  <c r="N894" i="30"/>
  <c r="O894" i="30"/>
  <c r="N892" i="30"/>
  <c r="O892" i="30"/>
  <c r="N890" i="30"/>
  <c r="O890" i="30"/>
  <c r="N888" i="30"/>
  <c r="O888" i="30"/>
  <c r="N886" i="30"/>
  <c r="O886" i="30"/>
  <c r="N884" i="30"/>
  <c r="O884" i="30"/>
  <c r="N882" i="30"/>
  <c r="O882" i="30"/>
  <c r="N880" i="30"/>
  <c r="O880" i="30"/>
  <c r="N878" i="30"/>
  <c r="O878" i="30"/>
  <c r="N876" i="30"/>
  <c r="O876" i="30"/>
  <c r="N874" i="30"/>
  <c r="O874" i="30"/>
  <c r="N872" i="30"/>
  <c r="O872" i="30"/>
  <c r="N870" i="30"/>
  <c r="O870" i="30"/>
  <c r="N868" i="30"/>
  <c r="O868" i="30"/>
  <c r="N866" i="30"/>
  <c r="O866" i="30"/>
  <c r="N864" i="30"/>
  <c r="O864" i="30"/>
  <c r="N862" i="30"/>
  <c r="O862" i="30"/>
  <c r="N860" i="30"/>
  <c r="O860" i="30"/>
  <c r="N858" i="30"/>
  <c r="O858" i="30"/>
  <c r="N856" i="30"/>
  <c r="O856" i="30"/>
  <c r="N854" i="30"/>
  <c r="O854" i="30"/>
  <c r="N852" i="30"/>
  <c r="O852" i="30"/>
  <c r="N850" i="30"/>
  <c r="O850" i="30"/>
  <c r="N848" i="30"/>
  <c r="O848" i="30"/>
  <c r="N846" i="30"/>
  <c r="O846" i="30"/>
  <c r="N844" i="30"/>
  <c r="O844" i="30"/>
  <c r="N842" i="30"/>
  <c r="O842" i="30"/>
  <c r="N840" i="30"/>
  <c r="O840" i="30"/>
  <c r="N838" i="30"/>
  <c r="O838" i="30"/>
  <c r="N836" i="30"/>
  <c r="O836" i="30"/>
  <c r="N834" i="30"/>
  <c r="O834" i="30"/>
  <c r="N832" i="30"/>
  <c r="O832" i="30"/>
  <c r="N830" i="30"/>
  <c r="O830" i="30"/>
  <c r="N828" i="30"/>
  <c r="O828" i="30"/>
  <c r="N826" i="30"/>
  <c r="O826" i="30"/>
  <c r="N824" i="30"/>
  <c r="O824" i="30"/>
  <c r="N822" i="30"/>
  <c r="O822" i="30"/>
  <c r="N820" i="30"/>
  <c r="O820" i="30"/>
  <c r="N818" i="30"/>
  <c r="O818" i="30"/>
  <c r="N816" i="30"/>
  <c r="O816" i="30"/>
  <c r="N814" i="30"/>
  <c r="O814" i="30"/>
  <c r="N812" i="30"/>
  <c r="O812" i="30"/>
  <c r="N810" i="30"/>
  <c r="O810" i="30"/>
  <c r="N808" i="30"/>
  <c r="O808" i="30"/>
  <c r="N806" i="30"/>
  <c r="O806" i="30"/>
  <c r="N804" i="30"/>
  <c r="O804" i="30"/>
  <c r="N802" i="30"/>
  <c r="O802" i="30"/>
  <c r="N800" i="30"/>
  <c r="O800" i="30"/>
  <c r="N798" i="30"/>
  <c r="O798" i="30"/>
  <c r="N796" i="30"/>
  <c r="O796" i="30"/>
  <c r="N794" i="30"/>
  <c r="O794" i="30"/>
  <c r="N792" i="30"/>
  <c r="O792" i="30"/>
  <c r="N790" i="30"/>
  <c r="O790" i="30"/>
  <c r="N788" i="30"/>
  <c r="O788" i="30"/>
  <c r="N786" i="30"/>
  <c r="O786" i="30"/>
  <c r="N784" i="30"/>
  <c r="O784" i="30"/>
  <c r="N782" i="30"/>
  <c r="O782" i="30"/>
  <c r="N780" i="30"/>
  <c r="O780" i="30"/>
  <c r="N778" i="30"/>
  <c r="O778" i="30"/>
  <c r="N776" i="30"/>
  <c r="O776" i="30"/>
  <c r="N774" i="30"/>
  <c r="O774" i="30"/>
  <c r="N772" i="30"/>
  <c r="O772" i="30"/>
  <c r="N770" i="30"/>
  <c r="O770" i="30"/>
  <c r="N768" i="30"/>
  <c r="O768" i="30"/>
  <c r="N766" i="30"/>
  <c r="O766" i="30"/>
  <c r="N764" i="30"/>
  <c r="O764" i="30"/>
  <c r="N762" i="30"/>
  <c r="O762" i="30"/>
  <c r="N760" i="30"/>
  <c r="O760" i="30"/>
  <c r="N758" i="30"/>
  <c r="O758" i="30"/>
  <c r="N756" i="30"/>
  <c r="O756" i="30"/>
  <c r="N754" i="30"/>
  <c r="O754" i="30"/>
  <c r="E752" i="30"/>
  <c r="G752" i="30"/>
  <c r="E751" i="30"/>
  <c r="G751" i="30"/>
  <c r="E744" i="30"/>
  <c r="G744" i="30"/>
  <c r="E743" i="30"/>
  <c r="G743" i="30"/>
  <c r="E736" i="30"/>
  <c r="G736" i="30"/>
  <c r="E735" i="30"/>
  <c r="G735" i="30"/>
  <c r="E728" i="30"/>
  <c r="G728" i="30"/>
  <c r="E727" i="30"/>
  <c r="G727" i="30"/>
  <c r="E720" i="30"/>
  <c r="G720" i="30"/>
  <c r="E719" i="30"/>
  <c r="G719" i="30"/>
  <c r="E712" i="30"/>
  <c r="G712" i="30"/>
  <c r="E711" i="30"/>
  <c r="G711" i="30"/>
  <c r="E704" i="30"/>
  <c r="G704" i="30"/>
  <c r="E703" i="30"/>
  <c r="G703" i="30"/>
  <c r="O697" i="30"/>
  <c r="O696" i="30"/>
  <c r="O695" i="30"/>
  <c r="O694" i="30"/>
  <c r="O693" i="30"/>
  <c r="O692" i="30"/>
  <c r="O691" i="30"/>
  <c r="O690" i="30"/>
  <c r="O689" i="30"/>
  <c r="O688" i="30"/>
  <c r="O687" i="30"/>
  <c r="O686" i="30"/>
  <c r="O685" i="30"/>
  <c r="O684" i="30"/>
  <c r="O683" i="30"/>
  <c r="O682" i="30"/>
  <c r="O681" i="30"/>
  <c r="O680" i="30"/>
  <c r="O679" i="30"/>
  <c r="O678" i="30"/>
  <c r="O677" i="30"/>
  <c r="O676" i="30"/>
  <c r="O675" i="30"/>
  <c r="O674" i="30"/>
  <c r="O673" i="30"/>
  <c r="E672" i="30"/>
  <c r="G672" i="30"/>
  <c r="E670" i="30"/>
  <c r="G670" i="30"/>
  <c r="E668" i="30"/>
  <c r="G668" i="30"/>
  <c r="E666" i="30"/>
  <c r="G666" i="30"/>
  <c r="E664" i="30"/>
  <c r="G664" i="30"/>
  <c r="E662" i="30"/>
  <c r="G662" i="30"/>
  <c r="E660" i="30"/>
  <c r="G660" i="30"/>
  <c r="E658" i="30"/>
  <c r="G658" i="30"/>
  <c r="E656" i="30"/>
  <c r="G656" i="30"/>
  <c r="E654" i="30"/>
  <c r="G654" i="30"/>
  <c r="E652" i="30"/>
  <c r="G652" i="30"/>
  <c r="E650" i="30"/>
  <c r="G650" i="30"/>
  <c r="E648" i="30"/>
  <c r="G648" i="30"/>
  <c r="E646" i="30"/>
  <c r="G646" i="30"/>
  <c r="E644" i="30"/>
  <c r="G644" i="30"/>
  <c r="E642" i="30"/>
  <c r="G642" i="30"/>
  <c r="E640" i="30"/>
  <c r="G640" i="30"/>
  <c r="E638" i="30"/>
  <c r="G638" i="30"/>
  <c r="E636" i="30"/>
  <c r="G636" i="30"/>
  <c r="E634" i="30"/>
  <c r="G634" i="30"/>
  <c r="E632" i="30"/>
  <c r="G632" i="30"/>
  <c r="E630" i="30"/>
  <c r="G630" i="30"/>
  <c r="E628" i="30"/>
  <c r="G628" i="30"/>
  <c r="E626" i="30"/>
  <c r="G626" i="30"/>
  <c r="E624" i="30"/>
  <c r="G624" i="30"/>
  <c r="E622" i="30"/>
  <c r="G622" i="30"/>
  <c r="E620" i="30"/>
  <c r="G620" i="30"/>
  <c r="E618" i="30"/>
  <c r="G618" i="30"/>
  <c r="E616" i="30"/>
  <c r="G616" i="30"/>
  <c r="E614" i="30"/>
  <c r="G614" i="30"/>
  <c r="E612" i="30"/>
  <c r="G612" i="30"/>
  <c r="N671" i="30"/>
  <c r="O671" i="30"/>
  <c r="N669" i="30"/>
  <c r="O669" i="30"/>
  <c r="N667" i="30"/>
  <c r="O667" i="30"/>
  <c r="N665" i="30"/>
  <c r="O665" i="30"/>
  <c r="N663" i="30"/>
  <c r="O663" i="30"/>
  <c r="N661" i="30"/>
  <c r="O661" i="30"/>
  <c r="N659" i="30"/>
  <c r="O659" i="30"/>
  <c r="N657" i="30"/>
  <c r="O657" i="30"/>
  <c r="N655" i="30"/>
  <c r="O655" i="30"/>
  <c r="N653" i="30"/>
  <c r="O653" i="30"/>
  <c r="N651" i="30"/>
  <c r="O651" i="30"/>
  <c r="N649" i="30"/>
  <c r="O649" i="30"/>
  <c r="N647" i="30"/>
  <c r="O647" i="30"/>
  <c r="N645" i="30"/>
  <c r="O645" i="30"/>
  <c r="N643" i="30"/>
  <c r="O643" i="30"/>
  <c r="N641" i="30"/>
  <c r="O641" i="30"/>
  <c r="N639" i="30"/>
  <c r="O639" i="30"/>
  <c r="N637" i="30"/>
  <c r="O637" i="30"/>
  <c r="N635" i="30"/>
  <c r="O635" i="30"/>
  <c r="N633" i="30"/>
  <c r="O633" i="30"/>
  <c r="N631" i="30"/>
  <c r="O631" i="30"/>
  <c r="N629" i="30"/>
  <c r="O629" i="30"/>
  <c r="N627" i="30"/>
  <c r="O627" i="30"/>
  <c r="N625" i="30"/>
  <c r="O625" i="30"/>
  <c r="N623" i="30"/>
  <c r="O623" i="30"/>
  <c r="N621" i="30"/>
  <c r="O621" i="30"/>
  <c r="N619" i="30"/>
  <c r="O619" i="30"/>
  <c r="N617" i="30"/>
  <c r="O617" i="30"/>
  <c r="N615" i="30"/>
  <c r="O615" i="30"/>
  <c r="N613" i="30"/>
  <c r="O613" i="30"/>
  <c r="O599" i="30"/>
  <c r="N599" i="30"/>
  <c r="O597" i="30"/>
  <c r="N597" i="30"/>
  <c r="O595" i="30"/>
  <c r="N595" i="30"/>
  <c r="O593" i="30"/>
  <c r="N593" i="30"/>
  <c r="O591" i="30"/>
  <c r="N591" i="30"/>
  <c r="O589" i="30"/>
  <c r="N589" i="30"/>
  <c r="O587" i="30"/>
  <c r="N587" i="30"/>
  <c r="O585" i="30"/>
  <c r="N585" i="30"/>
  <c r="O583" i="30"/>
  <c r="N583" i="30"/>
  <c r="O581" i="30"/>
  <c r="N581" i="30"/>
  <c r="O579" i="30"/>
  <c r="N579" i="30"/>
  <c r="G697" i="30"/>
  <c r="G696" i="30"/>
  <c r="G695" i="30"/>
  <c r="G694" i="30"/>
  <c r="G693" i="30"/>
  <c r="G692" i="30"/>
  <c r="G691" i="30"/>
  <c r="G690" i="30"/>
  <c r="G689" i="30"/>
  <c r="G688" i="30"/>
  <c r="G687" i="30"/>
  <c r="G686" i="30"/>
  <c r="G685" i="30"/>
  <c r="G684" i="30"/>
  <c r="G683" i="30"/>
  <c r="G682" i="30"/>
  <c r="G681" i="30"/>
  <c r="G680" i="30"/>
  <c r="G679" i="30"/>
  <c r="G678" i="30"/>
  <c r="G677" i="30"/>
  <c r="G676" i="30"/>
  <c r="G675" i="30"/>
  <c r="G674" i="30"/>
  <c r="G673" i="30"/>
  <c r="E671" i="30"/>
  <c r="G671" i="30"/>
  <c r="E669" i="30"/>
  <c r="G669" i="30"/>
  <c r="E667" i="30"/>
  <c r="G667" i="30"/>
  <c r="E665" i="30"/>
  <c r="G665" i="30"/>
  <c r="E663" i="30"/>
  <c r="G663" i="30"/>
  <c r="E661" i="30"/>
  <c r="G661" i="30"/>
  <c r="E659" i="30"/>
  <c r="G659" i="30"/>
  <c r="E657" i="30"/>
  <c r="G657" i="30"/>
  <c r="E655" i="30"/>
  <c r="G655" i="30"/>
  <c r="E653" i="30"/>
  <c r="G653" i="30"/>
  <c r="E651" i="30"/>
  <c r="G651" i="30"/>
  <c r="E649" i="30"/>
  <c r="G649" i="30"/>
  <c r="E647" i="30"/>
  <c r="G647" i="30"/>
  <c r="E645" i="30"/>
  <c r="G645" i="30"/>
  <c r="E643" i="30"/>
  <c r="G643" i="30"/>
  <c r="E641" i="30"/>
  <c r="G641" i="30"/>
  <c r="E639" i="30"/>
  <c r="G639" i="30"/>
  <c r="E637" i="30"/>
  <c r="G637" i="30"/>
  <c r="E635" i="30"/>
  <c r="G635" i="30"/>
  <c r="E633" i="30"/>
  <c r="G633" i="30"/>
  <c r="E631" i="30"/>
  <c r="G631" i="30"/>
  <c r="E629" i="30"/>
  <c r="G629" i="30"/>
  <c r="E627" i="30"/>
  <c r="G627" i="30"/>
  <c r="E625" i="30"/>
  <c r="G625" i="30"/>
  <c r="E623" i="30"/>
  <c r="G623" i="30"/>
  <c r="E621" i="30"/>
  <c r="G621" i="30"/>
  <c r="E619" i="30"/>
  <c r="G619" i="30"/>
  <c r="E617" i="30"/>
  <c r="G617" i="30"/>
  <c r="E615" i="30"/>
  <c r="G615" i="30"/>
  <c r="E613" i="30"/>
  <c r="G613" i="30"/>
  <c r="O752" i="30"/>
  <c r="O750" i="30"/>
  <c r="O748" i="30"/>
  <c r="O746" i="30"/>
  <c r="O744" i="30"/>
  <c r="O742" i="30"/>
  <c r="O740" i="30"/>
  <c r="O738" i="30"/>
  <c r="O736" i="30"/>
  <c r="O734" i="30"/>
  <c r="O732" i="30"/>
  <c r="O730" i="30"/>
  <c r="O728" i="30"/>
  <c r="O726" i="30"/>
  <c r="O724" i="30"/>
  <c r="O722" i="30"/>
  <c r="O720" i="30"/>
  <c r="O718" i="30"/>
  <c r="O716" i="30"/>
  <c r="O714" i="30"/>
  <c r="O712" i="30"/>
  <c r="O710" i="30"/>
  <c r="O708" i="30"/>
  <c r="O706" i="30"/>
  <c r="O704" i="30"/>
  <c r="O702" i="30"/>
  <c r="O700" i="30"/>
  <c r="O698" i="30"/>
  <c r="N672" i="30"/>
  <c r="O672" i="30"/>
  <c r="N670" i="30"/>
  <c r="O670" i="30"/>
  <c r="N668" i="30"/>
  <c r="O668" i="30"/>
  <c r="N666" i="30"/>
  <c r="O666" i="30"/>
  <c r="N664" i="30"/>
  <c r="O664" i="30"/>
  <c r="N662" i="30"/>
  <c r="O662" i="30"/>
  <c r="N660" i="30"/>
  <c r="O660" i="30"/>
  <c r="N658" i="30"/>
  <c r="O658" i="30"/>
  <c r="N656" i="30"/>
  <c r="O656" i="30"/>
  <c r="N654" i="30"/>
  <c r="O654" i="30"/>
  <c r="N652" i="30"/>
  <c r="O652" i="30"/>
  <c r="N650" i="30"/>
  <c r="O650" i="30"/>
  <c r="N648" i="30"/>
  <c r="O648" i="30"/>
  <c r="N646" i="30"/>
  <c r="O646" i="30"/>
  <c r="N644" i="30"/>
  <c r="O644" i="30"/>
  <c r="N642" i="30"/>
  <c r="O642" i="30"/>
  <c r="N640" i="30"/>
  <c r="O640" i="30"/>
  <c r="N638" i="30"/>
  <c r="O638" i="30"/>
  <c r="N636" i="30"/>
  <c r="O636" i="30"/>
  <c r="N634" i="30"/>
  <c r="O634" i="30"/>
  <c r="N632" i="30"/>
  <c r="O632" i="30"/>
  <c r="N630" i="30"/>
  <c r="O630" i="30"/>
  <c r="N628" i="30"/>
  <c r="O628" i="30"/>
  <c r="N626" i="30"/>
  <c r="O626" i="30"/>
  <c r="N624" i="30"/>
  <c r="O624" i="30"/>
  <c r="N622" i="30"/>
  <c r="O622" i="30"/>
  <c r="N620" i="30"/>
  <c r="O620" i="30"/>
  <c r="N618" i="30"/>
  <c r="O618" i="30"/>
  <c r="N616" i="30"/>
  <c r="O616" i="30"/>
  <c r="N614" i="30"/>
  <c r="O614" i="30"/>
  <c r="N612" i="30"/>
  <c r="O612" i="30"/>
  <c r="G545" i="30"/>
  <c r="E545" i="30"/>
  <c r="G537" i="30"/>
  <c r="E537" i="30"/>
  <c r="O611" i="30"/>
  <c r="G611" i="30"/>
  <c r="O610" i="30"/>
  <c r="G610" i="30"/>
  <c r="O609" i="30"/>
  <c r="G609" i="30"/>
  <c r="O608" i="30"/>
  <c r="G608" i="30"/>
  <c r="O607" i="30"/>
  <c r="G607" i="30"/>
  <c r="O606" i="30"/>
  <c r="G606" i="30"/>
  <c r="O605" i="30"/>
  <c r="G605" i="30"/>
  <c r="O604" i="30"/>
  <c r="G604" i="30"/>
  <c r="O603" i="30"/>
  <c r="G603" i="30"/>
  <c r="O602" i="30"/>
  <c r="G602" i="30"/>
  <c r="O601" i="30"/>
  <c r="G601" i="30"/>
  <c r="O600" i="30"/>
  <c r="E600" i="30"/>
  <c r="E598" i="30"/>
  <c r="E596" i="30"/>
  <c r="E594" i="30"/>
  <c r="E592" i="30"/>
  <c r="E590" i="30"/>
  <c r="E588" i="30"/>
  <c r="E586" i="30"/>
  <c r="E584" i="30"/>
  <c r="E582" i="30"/>
  <c r="E580" i="30"/>
  <c r="E578" i="30"/>
  <c r="E576" i="30"/>
  <c r="E574" i="30"/>
  <c r="E572" i="30"/>
  <c r="E570" i="30"/>
  <c r="E568" i="30"/>
  <c r="E566" i="30"/>
  <c r="E564" i="30"/>
  <c r="E562" i="30"/>
  <c r="E560" i="30"/>
  <c r="G547" i="30"/>
  <c r="E547" i="30"/>
  <c r="G539" i="30"/>
  <c r="E539" i="30"/>
  <c r="N598" i="30"/>
  <c r="N596" i="30"/>
  <c r="N594" i="30"/>
  <c r="N592" i="30"/>
  <c r="N590" i="30"/>
  <c r="N588" i="30"/>
  <c r="N586" i="30"/>
  <c r="N584" i="30"/>
  <c r="N582" i="30"/>
  <c r="N580" i="30"/>
  <c r="N578" i="30"/>
  <c r="N576" i="30"/>
  <c r="N574" i="30"/>
  <c r="N572" i="30"/>
  <c r="N570" i="30"/>
  <c r="N568" i="30"/>
  <c r="N566" i="30"/>
  <c r="N564" i="30"/>
  <c r="N562" i="30"/>
  <c r="N560" i="30"/>
  <c r="N558" i="30"/>
  <c r="G549" i="30"/>
  <c r="E549" i="30"/>
  <c r="G541" i="30"/>
  <c r="E541" i="30"/>
  <c r="G551" i="30"/>
  <c r="E551" i="30"/>
  <c r="G543" i="30"/>
  <c r="E543" i="30"/>
  <c r="O551" i="30"/>
  <c r="O549" i="30"/>
  <c r="O547" i="30"/>
  <c r="O545" i="30"/>
  <c r="O543" i="30"/>
  <c r="O541" i="30"/>
  <c r="O539" i="30"/>
  <c r="O537" i="30"/>
  <c r="O535" i="30"/>
  <c r="E535" i="30"/>
  <c r="O533" i="30"/>
  <c r="E533" i="30"/>
  <c r="O531" i="30"/>
  <c r="E531" i="30"/>
  <c r="O529" i="30"/>
  <c r="E529" i="30"/>
  <c r="O527" i="30"/>
  <c r="E527" i="30"/>
  <c r="O525" i="30"/>
  <c r="E525" i="30"/>
  <c r="O523" i="30"/>
  <c r="E523" i="30"/>
  <c r="O521" i="30"/>
  <c r="E521" i="30"/>
  <c r="O519" i="30"/>
  <c r="E519" i="30"/>
  <c r="O517" i="30"/>
  <c r="E517" i="30"/>
  <c r="O515" i="30"/>
  <c r="E515" i="30"/>
  <c r="O513" i="30"/>
  <c r="E513" i="30"/>
  <c r="O511" i="30"/>
  <c r="E511" i="30"/>
  <c r="O509" i="30"/>
  <c r="E509" i="30"/>
  <c r="O507" i="30"/>
  <c r="E507" i="30"/>
  <c r="O505" i="30"/>
  <c r="O503" i="30"/>
  <c r="O501" i="30"/>
  <c r="O499" i="30"/>
  <c r="O497" i="30"/>
  <c r="N486" i="30"/>
  <c r="O486" i="30"/>
  <c r="N484" i="30"/>
  <c r="O484" i="30"/>
  <c r="N482" i="30"/>
  <c r="O482" i="30"/>
  <c r="N480" i="30"/>
  <c r="O480" i="30"/>
  <c r="N478" i="30"/>
  <c r="O478" i="30"/>
  <c r="N476" i="30"/>
  <c r="O476" i="30"/>
  <c r="N474" i="30"/>
  <c r="O474" i="30"/>
  <c r="N472" i="30"/>
  <c r="O472" i="30"/>
  <c r="N470" i="30"/>
  <c r="O470" i="30"/>
  <c r="N468" i="30"/>
  <c r="O468" i="30"/>
  <c r="N466" i="30"/>
  <c r="O466" i="30"/>
  <c r="N464" i="30"/>
  <c r="O464" i="30"/>
  <c r="N462" i="30"/>
  <c r="O462" i="30"/>
  <c r="N460" i="30"/>
  <c r="O460" i="30"/>
  <c r="N458" i="30"/>
  <c r="O458" i="30"/>
  <c r="N456" i="30"/>
  <c r="O456" i="30"/>
  <c r="N454" i="30"/>
  <c r="O454" i="30"/>
  <c r="N452" i="30"/>
  <c r="O452" i="30"/>
  <c r="N450" i="30"/>
  <c r="O450" i="30"/>
  <c r="N448" i="30"/>
  <c r="O448" i="30"/>
  <c r="N446" i="30"/>
  <c r="O446" i="30"/>
  <c r="N444" i="30"/>
  <c r="O444" i="30"/>
  <c r="N442" i="30"/>
  <c r="O442" i="30"/>
  <c r="N440" i="30"/>
  <c r="O440" i="30"/>
  <c r="N438" i="30"/>
  <c r="O438" i="30"/>
  <c r="N436" i="30"/>
  <c r="O436" i="30"/>
  <c r="N434" i="30"/>
  <c r="O434" i="30"/>
  <c r="N432" i="30"/>
  <c r="O432" i="30"/>
  <c r="N430" i="30"/>
  <c r="O430" i="30"/>
  <c r="N428" i="30"/>
  <c r="O428" i="30"/>
  <c r="N426" i="30"/>
  <c r="O426" i="30"/>
  <c r="N424" i="30"/>
  <c r="O424" i="30"/>
  <c r="N422" i="30"/>
  <c r="O422" i="30"/>
  <c r="N420" i="30"/>
  <c r="O420" i="30"/>
  <c r="N418" i="30"/>
  <c r="O418" i="30"/>
  <c r="N416" i="30"/>
  <c r="O416" i="30"/>
  <c r="N414" i="30"/>
  <c r="O414" i="30"/>
  <c r="N412" i="30"/>
  <c r="O412" i="30"/>
  <c r="N410" i="30"/>
  <c r="O410" i="30"/>
  <c r="N408" i="30"/>
  <c r="O408" i="30"/>
  <c r="N406" i="30"/>
  <c r="O406" i="30"/>
  <c r="O404" i="30"/>
  <c r="N404" i="30"/>
  <c r="G403" i="30"/>
  <c r="E403" i="30"/>
  <c r="O401" i="30"/>
  <c r="N401" i="30"/>
  <c r="G498" i="30"/>
  <c r="E496" i="30"/>
  <c r="E495" i="30"/>
  <c r="E494" i="30"/>
  <c r="E493" i="30"/>
  <c r="E486" i="30"/>
  <c r="G486" i="30"/>
  <c r="E484" i="30"/>
  <c r="G484" i="30"/>
  <c r="E482" i="30"/>
  <c r="G482" i="30"/>
  <c r="E480" i="30"/>
  <c r="G480" i="30"/>
  <c r="E478" i="30"/>
  <c r="G478" i="30"/>
  <c r="E476" i="30"/>
  <c r="G476" i="30"/>
  <c r="E474" i="30"/>
  <c r="G474" i="30"/>
  <c r="E472" i="30"/>
  <c r="G472" i="30"/>
  <c r="E470" i="30"/>
  <c r="G470" i="30"/>
  <c r="E468" i="30"/>
  <c r="G468" i="30"/>
  <c r="E466" i="30"/>
  <c r="G466" i="30"/>
  <c r="E464" i="30"/>
  <c r="G464" i="30"/>
  <c r="E462" i="30"/>
  <c r="G462" i="30"/>
  <c r="E460" i="30"/>
  <c r="G460" i="30"/>
  <c r="E458" i="30"/>
  <c r="G458" i="30"/>
  <c r="E456" i="30"/>
  <c r="G456" i="30"/>
  <c r="E454" i="30"/>
  <c r="G454" i="30"/>
  <c r="E452" i="30"/>
  <c r="G452" i="30"/>
  <c r="E450" i="30"/>
  <c r="G450" i="30"/>
  <c r="E448" i="30"/>
  <c r="G448" i="30"/>
  <c r="E446" i="30"/>
  <c r="G446" i="30"/>
  <c r="E444" i="30"/>
  <c r="G444" i="30"/>
  <c r="E442" i="30"/>
  <c r="G442" i="30"/>
  <c r="E440" i="30"/>
  <c r="G440" i="30"/>
  <c r="E438" i="30"/>
  <c r="G438" i="30"/>
  <c r="E436" i="30"/>
  <c r="G436" i="30"/>
  <c r="E434" i="30"/>
  <c r="G434" i="30"/>
  <c r="E432" i="30"/>
  <c r="G432" i="30"/>
  <c r="E430" i="30"/>
  <c r="G430" i="30"/>
  <c r="E428" i="30"/>
  <c r="G428" i="30"/>
  <c r="E426" i="30"/>
  <c r="G426" i="30"/>
  <c r="E424" i="30"/>
  <c r="G424" i="30"/>
  <c r="E422" i="30"/>
  <c r="G422" i="30"/>
  <c r="E420" i="30"/>
  <c r="G420" i="30"/>
  <c r="E418" i="30"/>
  <c r="G418" i="30"/>
  <c r="E416" i="30"/>
  <c r="G416" i="30"/>
  <c r="E414" i="30"/>
  <c r="G414" i="30"/>
  <c r="E412" i="30"/>
  <c r="G412" i="30"/>
  <c r="E410" i="30"/>
  <c r="G410" i="30"/>
  <c r="E408" i="30"/>
  <c r="G408" i="30"/>
  <c r="E406" i="30"/>
  <c r="G406" i="30"/>
  <c r="O402" i="30"/>
  <c r="N402" i="30"/>
  <c r="G401" i="30"/>
  <c r="E401" i="30"/>
  <c r="O399" i="30"/>
  <c r="N399" i="30"/>
  <c r="N487" i="30"/>
  <c r="O487" i="30"/>
  <c r="N485" i="30"/>
  <c r="O485" i="30"/>
  <c r="N483" i="30"/>
  <c r="O483" i="30"/>
  <c r="N481" i="30"/>
  <c r="O481" i="30"/>
  <c r="N479" i="30"/>
  <c r="O479" i="30"/>
  <c r="N477" i="30"/>
  <c r="O477" i="30"/>
  <c r="N475" i="30"/>
  <c r="O475" i="30"/>
  <c r="N473" i="30"/>
  <c r="O473" i="30"/>
  <c r="N471" i="30"/>
  <c r="O471" i="30"/>
  <c r="N469" i="30"/>
  <c r="O469" i="30"/>
  <c r="N467" i="30"/>
  <c r="O467" i="30"/>
  <c r="N465" i="30"/>
  <c r="O465" i="30"/>
  <c r="N463" i="30"/>
  <c r="O463" i="30"/>
  <c r="N461" i="30"/>
  <c r="O461" i="30"/>
  <c r="N459" i="30"/>
  <c r="O459" i="30"/>
  <c r="N457" i="30"/>
  <c r="O457" i="30"/>
  <c r="N455" i="30"/>
  <c r="O455" i="30"/>
  <c r="N453" i="30"/>
  <c r="O453" i="30"/>
  <c r="N451" i="30"/>
  <c r="O451" i="30"/>
  <c r="N449" i="30"/>
  <c r="O449" i="30"/>
  <c r="N447" i="30"/>
  <c r="O447" i="30"/>
  <c r="N445" i="30"/>
  <c r="O445" i="30"/>
  <c r="N443" i="30"/>
  <c r="O443" i="30"/>
  <c r="N441" i="30"/>
  <c r="O441" i="30"/>
  <c r="N439" i="30"/>
  <c r="O439" i="30"/>
  <c r="N437" i="30"/>
  <c r="O437" i="30"/>
  <c r="N435" i="30"/>
  <c r="O435" i="30"/>
  <c r="N433" i="30"/>
  <c r="O433" i="30"/>
  <c r="N431" i="30"/>
  <c r="O431" i="30"/>
  <c r="N429" i="30"/>
  <c r="O429" i="30"/>
  <c r="N427" i="30"/>
  <c r="O427" i="30"/>
  <c r="N425" i="30"/>
  <c r="O425" i="30"/>
  <c r="N423" i="30"/>
  <c r="O423" i="30"/>
  <c r="N421" i="30"/>
  <c r="O421" i="30"/>
  <c r="N419" i="30"/>
  <c r="O419" i="30"/>
  <c r="N417" i="30"/>
  <c r="O417" i="30"/>
  <c r="N415" i="30"/>
  <c r="O415" i="30"/>
  <c r="N413" i="30"/>
  <c r="O413" i="30"/>
  <c r="N411" i="30"/>
  <c r="O411" i="30"/>
  <c r="N409" i="30"/>
  <c r="O409" i="30"/>
  <c r="N407" i="30"/>
  <c r="O407" i="30"/>
  <c r="N405" i="30"/>
  <c r="O405" i="30"/>
  <c r="O400" i="30"/>
  <c r="N400" i="30"/>
  <c r="G399" i="30"/>
  <c r="E399" i="30"/>
  <c r="E487" i="30"/>
  <c r="G487" i="30"/>
  <c r="E485" i="30"/>
  <c r="G485" i="30"/>
  <c r="E483" i="30"/>
  <c r="G483" i="30"/>
  <c r="E481" i="30"/>
  <c r="G481" i="30"/>
  <c r="E479" i="30"/>
  <c r="G479" i="30"/>
  <c r="E477" i="30"/>
  <c r="G477" i="30"/>
  <c r="E475" i="30"/>
  <c r="G475" i="30"/>
  <c r="E473" i="30"/>
  <c r="G473" i="30"/>
  <c r="E471" i="30"/>
  <c r="G471" i="30"/>
  <c r="E469" i="30"/>
  <c r="G469" i="30"/>
  <c r="E467" i="30"/>
  <c r="G467" i="30"/>
  <c r="E465" i="30"/>
  <c r="G465" i="30"/>
  <c r="E463" i="30"/>
  <c r="G463" i="30"/>
  <c r="E461" i="30"/>
  <c r="G461" i="30"/>
  <c r="E459" i="30"/>
  <c r="G459" i="30"/>
  <c r="E457" i="30"/>
  <c r="G457" i="30"/>
  <c r="E455" i="30"/>
  <c r="G455" i="30"/>
  <c r="E453" i="30"/>
  <c r="G453" i="30"/>
  <c r="E451" i="30"/>
  <c r="G451" i="30"/>
  <c r="E449" i="30"/>
  <c r="G449" i="30"/>
  <c r="E447" i="30"/>
  <c r="G447" i="30"/>
  <c r="E445" i="30"/>
  <c r="G445" i="30"/>
  <c r="E443" i="30"/>
  <c r="G443" i="30"/>
  <c r="E441" i="30"/>
  <c r="G441" i="30"/>
  <c r="E439" i="30"/>
  <c r="G439" i="30"/>
  <c r="E437" i="30"/>
  <c r="G437" i="30"/>
  <c r="E435" i="30"/>
  <c r="G435" i="30"/>
  <c r="E433" i="30"/>
  <c r="G433" i="30"/>
  <c r="E431" i="30"/>
  <c r="G431" i="30"/>
  <c r="E429" i="30"/>
  <c r="G429" i="30"/>
  <c r="E427" i="30"/>
  <c r="G427" i="30"/>
  <c r="E425" i="30"/>
  <c r="G425" i="30"/>
  <c r="E423" i="30"/>
  <c r="G423" i="30"/>
  <c r="E421" i="30"/>
  <c r="G421" i="30"/>
  <c r="E419" i="30"/>
  <c r="G419" i="30"/>
  <c r="E417" i="30"/>
  <c r="G417" i="30"/>
  <c r="E415" i="30"/>
  <c r="G415" i="30"/>
  <c r="E413" i="30"/>
  <c r="G413" i="30"/>
  <c r="E411" i="30"/>
  <c r="G411" i="30"/>
  <c r="E409" i="30"/>
  <c r="G409" i="30"/>
  <c r="E407" i="30"/>
  <c r="G407" i="30"/>
  <c r="E405" i="30"/>
  <c r="G405" i="30"/>
  <c r="O403" i="30"/>
  <c r="N403" i="30"/>
  <c r="E338" i="30"/>
  <c r="G338" i="30"/>
  <c r="E337" i="30"/>
  <c r="G337" i="30"/>
  <c r="N334" i="30"/>
  <c r="O334" i="30"/>
  <c r="E330" i="30"/>
  <c r="G330" i="30"/>
  <c r="E329" i="30"/>
  <c r="G329" i="30"/>
  <c r="N324" i="30"/>
  <c r="O324" i="30"/>
  <c r="N320" i="30"/>
  <c r="O320" i="30"/>
  <c r="N316" i="30"/>
  <c r="O316" i="30"/>
  <c r="E404" i="30"/>
  <c r="E402" i="30"/>
  <c r="E400" i="30"/>
  <c r="O396" i="30"/>
  <c r="O395" i="30"/>
  <c r="O394" i="30"/>
  <c r="O393" i="30"/>
  <c r="O392" i="30"/>
  <c r="O391" i="30"/>
  <c r="O390" i="30"/>
  <c r="O389" i="30"/>
  <c r="O388" i="30"/>
  <c r="O387" i="30"/>
  <c r="O386" i="30"/>
  <c r="O385" i="30"/>
  <c r="O384" i="30"/>
  <c r="O383" i="30"/>
  <c r="O382" i="30"/>
  <c r="O381" i="30"/>
  <c r="O380" i="30"/>
  <c r="O379" i="30"/>
  <c r="O378" i="30"/>
  <c r="O377" i="30"/>
  <c r="O376" i="30"/>
  <c r="O375" i="30"/>
  <c r="O374" i="30"/>
  <c r="O373" i="30"/>
  <c r="O372" i="30"/>
  <c r="O371" i="30"/>
  <c r="O370" i="30"/>
  <c r="O369" i="30"/>
  <c r="O368" i="30"/>
  <c r="O367" i="30"/>
  <c r="O366" i="30"/>
  <c r="O365" i="30"/>
  <c r="O364" i="30"/>
  <c r="O363" i="30"/>
  <c r="O362" i="30"/>
  <c r="O361" i="30"/>
  <c r="O360" i="30"/>
  <c r="O359" i="30"/>
  <c r="O358" i="30"/>
  <c r="O357" i="30"/>
  <c r="O356" i="30"/>
  <c r="O355" i="30"/>
  <c r="O354" i="30"/>
  <c r="O353" i="30"/>
  <c r="O352" i="30"/>
  <c r="O351" i="30"/>
  <c r="O350" i="30"/>
  <c r="O349" i="30"/>
  <c r="O348" i="30"/>
  <c r="O347" i="30"/>
  <c r="O346" i="30"/>
  <c r="O345" i="30"/>
  <c r="O344" i="30"/>
  <c r="O343" i="30"/>
  <c r="O342" i="30"/>
  <c r="E340" i="30"/>
  <c r="G340" i="30"/>
  <c r="E339" i="30"/>
  <c r="G339" i="30"/>
  <c r="N336" i="30"/>
  <c r="O336" i="30"/>
  <c r="E332" i="30"/>
  <c r="G332" i="30"/>
  <c r="E331" i="30"/>
  <c r="G331" i="30"/>
  <c r="N328" i="30"/>
  <c r="O328" i="30"/>
  <c r="E397" i="30"/>
  <c r="G397" i="30"/>
  <c r="E396" i="30"/>
  <c r="G396" i="30"/>
  <c r="E395" i="30"/>
  <c r="G395" i="30"/>
  <c r="E394" i="30"/>
  <c r="G394" i="30"/>
  <c r="E393" i="30"/>
  <c r="G393" i="30"/>
  <c r="E392" i="30"/>
  <c r="G392" i="30"/>
  <c r="E391" i="30"/>
  <c r="G391" i="30"/>
  <c r="E390" i="30"/>
  <c r="G390" i="30"/>
  <c r="E389" i="30"/>
  <c r="G389" i="30"/>
  <c r="E388" i="30"/>
  <c r="G388" i="30"/>
  <c r="E387" i="30"/>
  <c r="G387" i="30"/>
  <c r="E386" i="30"/>
  <c r="G386" i="30"/>
  <c r="E385" i="30"/>
  <c r="G385" i="30"/>
  <c r="E384" i="30"/>
  <c r="G384" i="30"/>
  <c r="E383" i="30"/>
  <c r="G383" i="30"/>
  <c r="E382" i="30"/>
  <c r="G382" i="30"/>
  <c r="E381" i="30"/>
  <c r="G381" i="30"/>
  <c r="E380" i="30"/>
  <c r="G380" i="30"/>
  <c r="E379" i="30"/>
  <c r="G379" i="30"/>
  <c r="E378" i="30"/>
  <c r="G378" i="30"/>
  <c r="E377" i="30"/>
  <c r="G377" i="30"/>
  <c r="E376" i="30"/>
  <c r="G376" i="30"/>
  <c r="E375" i="30"/>
  <c r="G375" i="30"/>
  <c r="E374" i="30"/>
  <c r="G374" i="30"/>
  <c r="E373" i="30"/>
  <c r="G373" i="30"/>
  <c r="E372" i="30"/>
  <c r="G372" i="30"/>
  <c r="E371" i="30"/>
  <c r="G371" i="30"/>
  <c r="E370" i="30"/>
  <c r="G370" i="30"/>
  <c r="E369" i="30"/>
  <c r="G369" i="30"/>
  <c r="E368" i="30"/>
  <c r="G368" i="30"/>
  <c r="E367" i="30"/>
  <c r="G367" i="30"/>
  <c r="E366" i="30"/>
  <c r="G366" i="30"/>
  <c r="E365" i="30"/>
  <c r="G365" i="30"/>
  <c r="E364" i="30"/>
  <c r="G364" i="30"/>
  <c r="E363" i="30"/>
  <c r="G363" i="30"/>
  <c r="E362" i="30"/>
  <c r="G362" i="30"/>
  <c r="E361" i="30"/>
  <c r="G361" i="30"/>
  <c r="E360" i="30"/>
  <c r="G360" i="30"/>
  <c r="E359" i="30"/>
  <c r="G359" i="30"/>
  <c r="E358" i="30"/>
  <c r="G358" i="30"/>
  <c r="E357" i="30"/>
  <c r="G357" i="30"/>
  <c r="E356" i="30"/>
  <c r="G356" i="30"/>
  <c r="E355" i="30"/>
  <c r="G355" i="30"/>
  <c r="E354" i="30"/>
  <c r="G354" i="30"/>
  <c r="E353" i="30"/>
  <c r="G353" i="30"/>
  <c r="E352" i="30"/>
  <c r="G352" i="30"/>
  <c r="E351" i="30"/>
  <c r="G351" i="30"/>
  <c r="E350" i="30"/>
  <c r="G350" i="30"/>
  <c r="E349" i="30"/>
  <c r="G349" i="30"/>
  <c r="E348" i="30"/>
  <c r="G348" i="30"/>
  <c r="E347" i="30"/>
  <c r="G347" i="30"/>
  <c r="E346" i="30"/>
  <c r="G346" i="30"/>
  <c r="E345" i="30"/>
  <c r="G345" i="30"/>
  <c r="E344" i="30"/>
  <c r="G344" i="30"/>
  <c r="E343" i="30"/>
  <c r="G343" i="30"/>
  <c r="E342" i="30"/>
  <c r="G342" i="30"/>
  <c r="E341" i="30"/>
  <c r="G341" i="30"/>
  <c r="N338" i="30"/>
  <c r="O338" i="30"/>
  <c r="E334" i="30"/>
  <c r="G334" i="30"/>
  <c r="E333" i="30"/>
  <c r="G333" i="30"/>
  <c r="N330" i="30"/>
  <c r="O330" i="30"/>
  <c r="N326" i="30"/>
  <c r="O326" i="30"/>
  <c r="N322" i="30"/>
  <c r="O322" i="30"/>
  <c r="N318" i="30"/>
  <c r="O318" i="30"/>
  <c r="N340" i="30"/>
  <c r="O340" i="30"/>
  <c r="E336" i="30"/>
  <c r="G336" i="30"/>
  <c r="E335" i="30"/>
  <c r="G335" i="30"/>
  <c r="N332" i="30"/>
  <c r="O332" i="30"/>
  <c r="E328" i="30"/>
  <c r="G328" i="30"/>
  <c r="O304" i="30"/>
  <c r="N304" i="30"/>
  <c r="O303" i="30"/>
  <c r="N303" i="30"/>
  <c r="O302" i="30"/>
  <c r="N302" i="30"/>
  <c r="O301" i="30"/>
  <c r="N301" i="30"/>
  <c r="O300" i="30"/>
  <c r="N300" i="30"/>
  <c r="O299" i="30"/>
  <c r="N299" i="30"/>
  <c r="O298" i="30"/>
  <c r="N298" i="30"/>
  <c r="O297" i="30"/>
  <c r="N297" i="30"/>
  <c r="O296" i="30"/>
  <c r="N296" i="30"/>
  <c r="O295" i="30"/>
  <c r="N295" i="30"/>
  <c r="O294" i="30"/>
  <c r="N294" i="30"/>
  <c r="O293" i="30"/>
  <c r="N293" i="30"/>
  <c r="O292" i="30"/>
  <c r="N292" i="30"/>
  <c r="O291" i="30"/>
  <c r="N291" i="30"/>
  <c r="O290" i="30"/>
  <c r="N290" i="30"/>
  <c r="O289" i="30"/>
  <c r="N289" i="30"/>
  <c r="O288" i="30"/>
  <c r="N288" i="30"/>
  <c r="O287" i="30"/>
  <c r="N287" i="30"/>
  <c r="O286" i="30"/>
  <c r="N286" i="30"/>
  <c r="O285" i="30"/>
  <c r="N285" i="30"/>
  <c r="O284" i="30"/>
  <c r="N284" i="30"/>
  <c r="O283" i="30"/>
  <c r="N283" i="30"/>
  <c r="O282" i="30"/>
  <c r="N282" i="30"/>
  <c r="O281" i="30"/>
  <c r="N281" i="30"/>
  <c r="O280" i="30"/>
  <c r="N280" i="30"/>
  <c r="O279" i="30"/>
  <c r="N279" i="30"/>
  <c r="O278" i="30"/>
  <c r="N278" i="30"/>
  <c r="O277" i="30"/>
  <c r="N277" i="30"/>
  <c r="O276" i="30"/>
  <c r="N276" i="30"/>
  <c r="O275" i="30"/>
  <c r="N275" i="30"/>
  <c r="O274" i="30"/>
  <c r="N274" i="30"/>
  <c r="O273" i="30"/>
  <c r="N273" i="30"/>
  <c r="O272" i="30"/>
  <c r="N272" i="30"/>
  <c r="O271" i="30"/>
  <c r="N271" i="30"/>
  <c r="O270" i="30"/>
  <c r="N270" i="30"/>
  <c r="O269" i="30"/>
  <c r="N269" i="30"/>
  <c r="O268" i="30"/>
  <c r="N268" i="30"/>
  <c r="O267" i="30"/>
  <c r="N267" i="30"/>
  <c r="O266" i="30"/>
  <c r="N266" i="30"/>
  <c r="O265" i="30"/>
  <c r="N265" i="30"/>
  <c r="O264" i="30"/>
  <c r="N264" i="30"/>
  <c r="O263" i="30"/>
  <c r="N263" i="30"/>
  <c r="O262" i="30"/>
  <c r="N262" i="30"/>
  <c r="O261" i="30"/>
  <c r="N261" i="30"/>
  <c r="O260" i="30"/>
  <c r="N260" i="30"/>
  <c r="O259" i="30"/>
  <c r="N259" i="30"/>
  <c r="O258" i="30"/>
  <c r="N258" i="30"/>
  <c r="O257" i="30"/>
  <c r="N257" i="30"/>
  <c r="O256" i="30"/>
  <c r="N256" i="30"/>
  <c r="N255" i="30"/>
  <c r="O255" i="30"/>
  <c r="N253" i="30"/>
  <c r="O253" i="30"/>
  <c r="N251" i="30"/>
  <c r="O251" i="30"/>
  <c r="N249" i="30"/>
  <c r="O249" i="30"/>
  <c r="N247" i="30"/>
  <c r="O247" i="30"/>
  <c r="N245" i="30"/>
  <c r="O245" i="30"/>
  <c r="N243" i="30"/>
  <c r="O243" i="30"/>
  <c r="G326" i="30"/>
  <c r="G324" i="30"/>
  <c r="G322" i="30"/>
  <c r="G320" i="30"/>
  <c r="G318" i="30"/>
  <c r="G316" i="30"/>
  <c r="G314" i="30"/>
  <c r="G312" i="30"/>
  <c r="G310" i="30"/>
  <c r="G308" i="30"/>
  <c r="G306" i="30"/>
  <c r="N193" i="30"/>
  <c r="O193" i="30"/>
  <c r="N189" i="30"/>
  <c r="O189" i="30"/>
  <c r="N185" i="30"/>
  <c r="O185" i="30"/>
  <c r="N181" i="30"/>
  <c r="O181" i="30"/>
  <c r="O314" i="30"/>
  <c r="O312" i="30"/>
  <c r="O310" i="30"/>
  <c r="O308" i="30"/>
  <c r="O306" i="30"/>
  <c r="G304" i="30"/>
  <c r="E304" i="30"/>
  <c r="G303" i="30"/>
  <c r="E303" i="30"/>
  <c r="G302" i="30"/>
  <c r="E302" i="30"/>
  <c r="G301" i="30"/>
  <c r="E301" i="30"/>
  <c r="G300" i="30"/>
  <c r="E300" i="30"/>
  <c r="G299" i="30"/>
  <c r="E299" i="30"/>
  <c r="G298" i="30"/>
  <c r="E298" i="30"/>
  <c r="G297" i="30"/>
  <c r="E297" i="30"/>
  <c r="G296" i="30"/>
  <c r="E296" i="30"/>
  <c r="G295" i="30"/>
  <c r="E295" i="30"/>
  <c r="G294" i="30"/>
  <c r="E294" i="30"/>
  <c r="G293" i="30"/>
  <c r="E293" i="30"/>
  <c r="G292" i="30"/>
  <c r="E292" i="30"/>
  <c r="G291" i="30"/>
  <c r="E291" i="30"/>
  <c r="G290" i="30"/>
  <c r="E290" i="30"/>
  <c r="G289" i="30"/>
  <c r="E289" i="30"/>
  <c r="G288" i="30"/>
  <c r="E288" i="30"/>
  <c r="G287" i="30"/>
  <c r="E287" i="30"/>
  <c r="G286" i="30"/>
  <c r="E286" i="30"/>
  <c r="G285" i="30"/>
  <c r="E285" i="30"/>
  <c r="G284" i="30"/>
  <c r="E284" i="30"/>
  <c r="G283" i="30"/>
  <c r="E283" i="30"/>
  <c r="G282" i="30"/>
  <c r="E282" i="30"/>
  <c r="G281" i="30"/>
  <c r="E281" i="30"/>
  <c r="G280" i="30"/>
  <c r="E280" i="30"/>
  <c r="G279" i="30"/>
  <c r="E279" i="30"/>
  <c r="G278" i="30"/>
  <c r="E278" i="30"/>
  <c r="G277" i="30"/>
  <c r="E277" i="30"/>
  <c r="G276" i="30"/>
  <c r="E276" i="30"/>
  <c r="G275" i="30"/>
  <c r="E275" i="30"/>
  <c r="G274" i="30"/>
  <c r="E274" i="30"/>
  <c r="G273" i="30"/>
  <c r="E273" i="30"/>
  <c r="G272" i="30"/>
  <c r="E272" i="30"/>
  <c r="G271" i="30"/>
  <c r="E271" i="30"/>
  <c r="G270" i="30"/>
  <c r="E270" i="30"/>
  <c r="G269" i="30"/>
  <c r="E269" i="30"/>
  <c r="G268" i="30"/>
  <c r="E268" i="30"/>
  <c r="G267" i="30"/>
  <c r="E267" i="30"/>
  <c r="G266" i="30"/>
  <c r="E266" i="30"/>
  <c r="G265" i="30"/>
  <c r="E265" i="30"/>
  <c r="G264" i="30"/>
  <c r="E264" i="30"/>
  <c r="G263" i="30"/>
  <c r="E263" i="30"/>
  <c r="G262" i="30"/>
  <c r="E262" i="30"/>
  <c r="G261" i="30"/>
  <c r="E261" i="30"/>
  <c r="G260" i="30"/>
  <c r="E260" i="30"/>
  <c r="G259" i="30"/>
  <c r="E259" i="30"/>
  <c r="G258" i="30"/>
  <c r="E258" i="30"/>
  <c r="G257" i="30"/>
  <c r="E257" i="30"/>
  <c r="G256" i="30"/>
  <c r="E256" i="30"/>
  <c r="G195" i="30"/>
  <c r="E194" i="30"/>
  <c r="G194" i="30"/>
  <c r="G187" i="30"/>
  <c r="E186" i="30"/>
  <c r="G186" i="30"/>
  <c r="N195" i="30"/>
  <c r="O195" i="30"/>
  <c r="E192" i="30"/>
  <c r="G192" i="30"/>
  <c r="N187" i="30"/>
  <c r="O187" i="30"/>
  <c r="E184" i="30"/>
  <c r="G184" i="30"/>
  <c r="N179" i="30"/>
  <c r="O179" i="30"/>
  <c r="N177" i="30"/>
  <c r="O177" i="30"/>
  <c r="N175" i="30"/>
  <c r="O175" i="30"/>
  <c r="N173" i="30"/>
  <c r="O173" i="30"/>
  <c r="N171" i="30"/>
  <c r="O171" i="30"/>
  <c r="N169" i="30"/>
  <c r="O169" i="30"/>
  <c r="N167" i="30"/>
  <c r="O167" i="30"/>
  <c r="N165" i="30"/>
  <c r="O165" i="30"/>
  <c r="N161" i="30"/>
  <c r="O161" i="30"/>
  <c r="N157" i="30"/>
  <c r="O157" i="30"/>
  <c r="O241" i="30"/>
  <c r="O239" i="30"/>
  <c r="O237" i="30"/>
  <c r="O235" i="30"/>
  <c r="O233" i="30"/>
  <c r="O231" i="30"/>
  <c r="O229" i="30"/>
  <c r="O227" i="30"/>
  <c r="O225" i="30"/>
  <c r="O223" i="30"/>
  <c r="O221" i="30"/>
  <c r="O219" i="30"/>
  <c r="O217" i="30"/>
  <c r="O215" i="30"/>
  <c r="O213" i="30"/>
  <c r="O211" i="30"/>
  <c r="O209" i="30"/>
  <c r="O207" i="30"/>
  <c r="O205" i="30"/>
  <c r="O203" i="30"/>
  <c r="G191" i="30"/>
  <c r="E190" i="30"/>
  <c r="G190" i="30"/>
  <c r="G183" i="30"/>
  <c r="E182" i="30"/>
  <c r="G182" i="30"/>
  <c r="E196" i="30"/>
  <c r="G196" i="30"/>
  <c r="N191" i="30"/>
  <c r="O191" i="30"/>
  <c r="E188" i="30"/>
  <c r="G188" i="30"/>
  <c r="N183" i="30"/>
  <c r="O183" i="30"/>
  <c r="E179" i="30"/>
  <c r="G179" i="30"/>
  <c r="E177" i="30"/>
  <c r="G177" i="30"/>
  <c r="E175" i="30"/>
  <c r="G175" i="30"/>
  <c r="E173" i="30"/>
  <c r="G173" i="30"/>
  <c r="E171" i="30"/>
  <c r="G171" i="30"/>
  <c r="E169" i="30"/>
  <c r="G169" i="30"/>
  <c r="E167" i="30"/>
  <c r="G167" i="30"/>
  <c r="N163" i="30"/>
  <c r="O163" i="30"/>
  <c r="N159" i="30"/>
  <c r="O159" i="30"/>
  <c r="G180" i="30"/>
  <c r="G178" i="30"/>
  <c r="G176" i="30"/>
  <c r="G174" i="30"/>
  <c r="G172" i="30"/>
  <c r="G170" i="30"/>
  <c r="G168" i="30"/>
  <c r="G166" i="30"/>
  <c r="G164" i="30"/>
  <c r="G162" i="30"/>
  <c r="G160" i="30"/>
  <c r="G158" i="30"/>
  <c r="G156" i="30"/>
  <c r="G154" i="30"/>
  <c r="G152" i="30"/>
  <c r="G150" i="30"/>
  <c r="G148" i="30"/>
  <c r="G146" i="30"/>
  <c r="G144" i="30"/>
  <c r="G142" i="30"/>
  <c r="G140" i="30"/>
  <c r="G138" i="30"/>
  <c r="G136" i="30"/>
  <c r="G134" i="30"/>
  <c r="G132" i="30"/>
  <c r="G130" i="30"/>
  <c r="G128" i="30"/>
  <c r="G126" i="30"/>
  <c r="G124" i="30"/>
  <c r="E122" i="30"/>
  <c r="G122" i="30"/>
  <c r="E121" i="30"/>
  <c r="G121" i="30"/>
  <c r="E120" i="30"/>
  <c r="G120" i="30"/>
  <c r="E119" i="30"/>
  <c r="G119" i="30"/>
  <c r="E118" i="30"/>
  <c r="G118" i="30"/>
  <c r="E117" i="30"/>
  <c r="G117" i="30"/>
  <c r="E116" i="30"/>
  <c r="G116" i="30"/>
  <c r="G123" i="30"/>
  <c r="O155" i="30"/>
  <c r="O153" i="30"/>
  <c r="O151" i="30"/>
  <c r="O149" i="30"/>
  <c r="O147" i="30"/>
  <c r="O145" i="30"/>
  <c r="O143" i="30"/>
  <c r="O141" i="30"/>
  <c r="O139" i="30"/>
  <c r="O137" i="30"/>
  <c r="O135" i="30"/>
  <c r="O133" i="30"/>
  <c r="O131" i="30"/>
  <c r="O129" i="30"/>
  <c r="O127" i="30"/>
  <c r="O125" i="30"/>
  <c r="O123" i="30"/>
  <c r="N122" i="30"/>
  <c r="O122" i="30"/>
  <c r="N121" i="30"/>
  <c r="O121" i="30"/>
  <c r="N120" i="30"/>
  <c r="O120" i="30"/>
  <c r="N119" i="30"/>
  <c r="O119" i="30"/>
  <c r="N118" i="30"/>
  <c r="O118" i="30"/>
  <c r="N117" i="30"/>
  <c r="O117" i="30"/>
  <c r="N116" i="30"/>
  <c r="O116" i="30"/>
  <c r="N115" i="30"/>
  <c r="O115" i="30"/>
  <c r="O114" i="30"/>
  <c r="O78" i="30"/>
  <c r="N78" i="30"/>
  <c r="O76" i="30"/>
  <c r="N76" i="30"/>
  <c r="O74" i="30"/>
  <c r="N74" i="30"/>
  <c r="O72" i="30"/>
  <c r="N72" i="30"/>
  <c r="O70" i="30"/>
  <c r="N70" i="30"/>
  <c r="O68" i="30"/>
  <c r="N68" i="30"/>
  <c r="O66" i="30"/>
  <c r="N66" i="30"/>
  <c r="E48" i="30"/>
  <c r="G48" i="30"/>
  <c r="G115" i="30"/>
  <c r="E84" i="30"/>
  <c r="E83" i="30"/>
  <c r="E82" i="30"/>
  <c r="E81" i="30"/>
  <c r="E80" i="30"/>
  <c r="G78" i="30"/>
  <c r="E78" i="30"/>
  <c r="G76" i="30"/>
  <c r="E76" i="30"/>
  <c r="G74" i="30"/>
  <c r="E74" i="30"/>
  <c r="G72" i="30"/>
  <c r="E72" i="30"/>
  <c r="G70" i="30"/>
  <c r="E70" i="30"/>
  <c r="G68" i="30"/>
  <c r="E68" i="30"/>
  <c r="N46" i="30"/>
  <c r="O46" i="30"/>
  <c r="O84" i="30"/>
  <c r="N84" i="30"/>
  <c r="O83" i="30"/>
  <c r="N83" i="30"/>
  <c r="O82" i="30"/>
  <c r="N82" i="30"/>
  <c r="O81" i="30"/>
  <c r="N81" i="30"/>
  <c r="O80" i="30"/>
  <c r="N80" i="30"/>
  <c r="O79" i="30"/>
  <c r="N79" i="30"/>
  <c r="O77" i="30"/>
  <c r="N77" i="30"/>
  <c r="O75" i="30"/>
  <c r="N75" i="30"/>
  <c r="O73" i="30"/>
  <c r="N73" i="30"/>
  <c r="O71" i="30"/>
  <c r="N71" i="30"/>
  <c r="O69" i="30"/>
  <c r="N69" i="30"/>
  <c r="O67" i="30"/>
  <c r="N67" i="30"/>
  <c r="G79" i="30"/>
  <c r="E79" i="30"/>
  <c r="G77" i="30"/>
  <c r="E77" i="30"/>
  <c r="G75" i="30"/>
  <c r="E75" i="30"/>
  <c r="G73" i="30"/>
  <c r="E73" i="30"/>
  <c r="G71" i="30"/>
  <c r="E71" i="30"/>
  <c r="G69" i="30"/>
  <c r="E69" i="30"/>
  <c r="G67" i="30"/>
  <c r="E67" i="30"/>
  <c r="E47" i="30"/>
  <c r="G47" i="30"/>
  <c r="G66" i="30"/>
  <c r="E66" i="30"/>
  <c r="G65" i="30"/>
  <c r="E65" i="30"/>
  <c r="G64" i="30"/>
  <c r="E64" i="30"/>
  <c r="G63" i="30"/>
  <c r="E63" i="30"/>
  <c r="G62" i="30"/>
  <c r="E62" i="30"/>
  <c r="G61" i="30"/>
  <c r="E61" i="30"/>
  <c r="G60" i="30"/>
  <c r="E60" i="30"/>
  <c r="G59" i="30"/>
  <c r="E59" i="30"/>
  <c r="G58" i="30"/>
  <c r="E58" i="30"/>
  <c r="G57" i="30"/>
  <c r="E57" i="30"/>
  <c r="G56" i="30"/>
  <c r="E56" i="30"/>
  <c r="G55" i="30"/>
  <c r="E55" i="30"/>
  <c r="G54" i="30"/>
  <c r="E54" i="30"/>
  <c r="G53" i="30"/>
  <c r="E53" i="30"/>
  <c r="G52" i="30"/>
  <c r="E52" i="30"/>
  <c r="G51" i="30"/>
  <c r="E51" i="30"/>
  <c r="G50" i="30"/>
  <c r="E50" i="30"/>
  <c r="E49" i="30"/>
  <c r="G49" i="30"/>
  <c r="O65" i="30"/>
  <c r="N65" i="30"/>
  <c r="O64" i="30"/>
  <c r="N64" i="30"/>
  <c r="O63" i="30"/>
  <c r="N63" i="30"/>
  <c r="O62" i="30"/>
  <c r="N62" i="30"/>
  <c r="O61" i="30"/>
  <c r="N61" i="30"/>
  <c r="O60" i="30"/>
  <c r="N60" i="30"/>
  <c r="O59" i="30"/>
  <c r="N59" i="30"/>
  <c r="O58" i="30"/>
  <c r="N58" i="30"/>
  <c r="O57" i="30"/>
  <c r="N57" i="30"/>
  <c r="O56" i="30"/>
  <c r="N56" i="30"/>
  <c r="O55" i="30"/>
  <c r="N55" i="30"/>
  <c r="O54" i="30"/>
  <c r="N54" i="30"/>
  <c r="O53" i="30"/>
  <c r="N53" i="30"/>
  <c r="O52" i="30"/>
  <c r="N52" i="30"/>
  <c r="O51" i="30"/>
  <c r="N51" i="30"/>
  <c r="O50" i="30"/>
  <c r="N50" i="30"/>
  <c r="O49" i="30"/>
  <c r="N49" i="30"/>
  <c r="N48" i="30"/>
  <c r="O48" i="30"/>
  <c r="O47" i="30"/>
  <c r="N38" i="30"/>
  <c r="O38" i="30"/>
  <c r="N36" i="30"/>
  <c r="O36" i="30"/>
  <c r="N34" i="30"/>
  <c r="O34" i="30"/>
  <c r="N32" i="30"/>
  <c r="O32" i="30"/>
  <c r="N30" i="30"/>
  <c r="O30" i="30"/>
  <c r="N28" i="30"/>
  <c r="O28" i="30"/>
  <c r="N26" i="30"/>
  <c r="O26" i="30"/>
  <c r="N24" i="30"/>
  <c r="O24" i="30"/>
  <c r="N22" i="30"/>
  <c r="O22" i="30"/>
  <c r="N20" i="30"/>
  <c r="O20" i="30"/>
  <c r="R7" i="30"/>
  <c r="E38" i="30"/>
  <c r="G38" i="30"/>
  <c r="E36" i="30"/>
  <c r="G36" i="30"/>
  <c r="E34" i="30"/>
  <c r="G34" i="30"/>
  <c r="E32" i="30"/>
  <c r="G32" i="30"/>
  <c r="E30" i="30"/>
  <c r="G30" i="30"/>
  <c r="E28" i="30"/>
  <c r="G28" i="30"/>
  <c r="E26" i="30"/>
  <c r="G26" i="30"/>
  <c r="E24" i="30"/>
  <c r="G24" i="30"/>
  <c r="E22" i="30"/>
  <c r="G22" i="30"/>
  <c r="E20" i="30"/>
  <c r="G20" i="30"/>
  <c r="N39" i="30"/>
  <c r="O39" i="30"/>
  <c r="N37" i="30"/>
  <c r="O37" i="30"/>
  <c r="N35" i="30"/>
  <c r="O35" i="30"/>
  <c r="N33" i="30"/>
  <c r="O33" i="30"/>
  <c r="N31" i="30"/>
  <c r="O31" i="30"/>
  <c r="N29" i="30"/>
  <c r="O29" i="30"/>
  <c r="N27" i="30"/>
  <c r="O27" i="30"/>
  <c r="N25" i="30"/>
  <c r="O25" i="30"/>
  <c r="N23" i="30"/>
  <c r="O23" i="30"/>
  <c r="N21" i="30"/>
  <c r="O21" i="30"/>
  <c r="N19" i="30"/>
  <c r="O19" i="30"/>
  <c r="O45" i="30"/>
  <c r="O44" i="30"/>
  <c r="O43" i="30"/>
  <c r="O42" i="30"/>
  <c r="O41" i="30"/>
  <c r="O40" i="30"/>
  <c r="E39" i="30"/>
  <c r="G39" i="30"/>
  <c r="E37" i="30"/>
  <c r="G37" i="30"/>
  <c r="E35" i="30"/>
  <c r="G35" i="30"/>
  <c r="E33" i="30"/>
  <c r="G33" i="30"/>
  <c r="E31" i="30"/>
  <c r="G31" i="30"/>
  <c r="E29" i="30"/>
  <c r="G29" i="30"/>
  <c r="E27" i="30"/>
  <c r="G27" i="30"/>
  <c r="E25" i="30"/>
  <c r="G25" i="30"/>
  <c r="E23" i="30"/>
  <c r="G23" i="30"/>
  <c r="E21" i="30"/>
  <c r="G21" i="30"/>
  <c r="E19" i="30"/>
  <c r="G19" i="30"/>
  <c r="K7" i="30"/>
  <c r="O18" i="30"/>
  <c r="G18" i="30"/>
  <c r="O17" i="30"/>
  <c r="G17" i="30"/>
  <c r="O16" i="30"/>
  <c r="G16" i="30"/>
  <c r="O15" i="30"/>
  <c r="G15" i="30"/>
  <c r="O14" i="30"/>
  <c r="G14" i="30"/>
  <c r="O13" i="30"/>
  <c r="G13" i="30"/>
  <c r="O12" i="30"/>
  <c r="G12" i="30"/>
  <c r="O11" i="30"/>
  <c r="G11" i="30"/>
  <c r="O10" i="30"/>
  <c r="G10" i="30"/>
  <c r="O9" i="30"/>
  <c r="G9" i="30"/>
  <c r="O8" i="30"/>
  <c r="G8" i="30"/>
  <c r="N8" i="30"/>
  <c r="Z27" i="24" l="1"/>
  <c r="E21" i="24" s="1"/>
  <c r="E19" i="24"/>
  <c r="AC27" i="24"/>
  <c r="V17" i="15"/>
  <c r="X17" i="15"/>
  <c r="Y17" i="15"/>
  <c r="U42" i="15"/>
  <c r="U45" i="15"/>
  <c r="V44" i="15" s="1"/>
  <c r="U46" i="15" s="1"/>
  <c r="U56" i="15"/>
  <c r="K50" i="15" s="1"/>
  <c r="H11" i="15"/>
  <c r="Y146" i="15"/>
  <c r="V146" i="15"/>
  <c r="X146" i="15"/>
  <c r="S148" i="15"/>
  <c r="G150" i="15"/>
  <c r="L5" i="30"/>
  <c r="N5" i="30"/>
  <c r="O5" i="30"/>
  <c r="AA6" i="12"/>
  <c r="AB5" i="12"/>
  <c r="L3" i="12" s="1"/>
  <c r="L2" i="12" s="1"/>
  <c r="G70" i="15"/>
  <c r="V77" i="15"/>
  <c r="V78" i="15" s="1"/>
  <c r="U78" i="15" s="1"/>
  <c r="G83" i="15" s="1"/>
  <c r="G5" i="12"/>
  <c r="E4" i="30"/>
  <c r="G4" i="30"/>
  <c r="B5" i="30"/>
  <c r="C5" i="30"/>
  <c r="V184" i="15"/>
  <c r="X184" i="15"/>
  <c r="Y184" i="15"/>
  <c r="H178" i="15" s="1"/>
  <c r="T190" i="15" l="1"/>
  <c r="T186" i="15"/>
  <c r="AA9" i="12"/>
  <c r="AA7" i="12"/>
  <c r="Q5" i="12" s="1"/>
  <c r="N138" i="15"/>
  <c r="O138" i="15"/>
  <c r="C44" i="15"/>
  <c r="G38" i="15"/>
  <c r="H40" i="15" s="1"/>
  <c r="S48" i="15" s="1"/>
  <c r="T92" i="15"/>
  <c r="U92" i="15" s="1"/>
  <c r="N70" i="15"/>
  <c r="O70" i="15" s="1"/>
  <c r="X148" i="15"/>
  <c r="V148" i="15"/>
  <c r="Y148" i="15"/>
  <c r="T19" i="15"/>
  <c r="T21" i="15"/>
  <c r="H72" i="15"/>
  <c r="T70" i="15" s="1"/>
  <c r="C76" i="15"/>
  <c r="T91" i="15" s="1"/>
  <c r="U91" i="15" s="1"/>
  <c r="H142" i="15"/>
  <c r="K53" i="15"/>
  <c r="X48" i="15" l="1"/>
  <c r="H43" i="15" s="1"/>
  <c r="V48" i="15"/>
  <c r="Y48" i="15"/>
  <c r="D5" i="12"/>
  <c r="R5" i="12"/>
  <c r="E5" i="12" s="1"/>
  <c r="U5" i="12"/>
  <c r="H5" i="12" s="1"/>
  <c r="T23" i="15"/>
  <c r="Y23" i="15" s="1"/>
  <c r="Y21" i="15"/>
  <c r="U58" i="15"/>
  <c r="V58" i="15" s="1"/>
  <c r="V60" i="15" s="1"/>
  <c r="V62" i="15" s="1"/>
  <c r="V63" i="15" s="1"/>
  <c r="G51" i="15" s="1"/>
  <c r="N38" i="15" s="1"/>
  <c r="O38" i="15" s="1"/>
  <c r="Y70" i="15"/>
  <c r="X70" i="15"/>
  <c r="H75" i="15" s="1"/>
  <c r="V70" i="15"/>
  <c r="T150" i="15"/>
  <c r="T154" i="15"/>
  <c r="X19" i="15"/>
  <c r="Y19" i="15"/>
  <c r="V19" i="15"/>
  <c r="Y186" i="15"/>
  <c r="T188" i="15"/>
  <c r="V186" i="15"/>
  <c r="X186" i="15"/>
  <c r="T93" i="15"/>
  <c r="F92" i="15" s="1"/>
  <c r="Y190" i="15"/>
  <c r="V190" i="15"/>
  <c r="X190" i="15"/>
  <c r="Y188" i="15" l="1"/>
  <c r="X188" i="15"/>
  <c r="V188" i="15"/>
  <c r="G170" i="15" s="1"/>
  <c r="L198" i="15" s="1"/>
  <c r="Y154" i="15"/>
  <c r="X154" i="15"/>
  <c r="V154" i="15"/>
  <c r="S23" i="15"/>
  <c r="S21" i="15"/>
  <c r="T152" i="15"/>
  <c r="Y150" i="15"/>
  <c r="V150" i="15"/>
  <c r="X150" i="15"/>
  <c r="V21" i="15" l="1"/>
  <c r="X21" i="15"/>
  <c r="C4" i="15" s="1"/>
  <c r="V23" i="15"/>
  <c r="X23" i="15"/>
  <c r="L23" i="15" s="1"/>
  <c r="Y152" i="15"/>
  <c r="V152" i="15"/>
  <c r="G134" i="15" s="1"/>
  <c r="L162" i="15" s="1"/>
  <c r="X152" i="15"/>
</calcChain>
</file>

<file path=xl/comments1.xml><?xml version="1.0" encoding="utf-8"?>
<comments xmlns="http://schemas.openxmlformats.org/spreadsheetml/2006/main">
  <authors>
    <author>cEllis</author>
  </authors>
  <commentList>
    <comment ref="K5" authorId="0">
      <text>
        <r>
          <rPr>
            <b/>
            <sz val="10"/>
            <color indexed="81"/>
            <rFont val="Tahoma"/>
            <family val="2"/>
          </rPr>
          <t xml:space="preserve">Enter Plate
Thickness
in </t>
        </r>
        <r>
          <rPr>
            <b/>
            <sz val="10"/>
            <color indexed="10"/>
            <rFont val="Tahoma"/>
            <family val="2"/>
          </rPr>
          <t>Inches</t>
        </r>
        <r>
          <rPr>
            <sz val="8"/>
            <color indexed="81"/>
            <rFont val="Tahoma"/>
          </rPr>
          <t xml:space="preserve">
</t>
        </r>
      </text>
    </comment>
    <comment ref="K10" authorId="0">
      <text>
        <r>
          <rPr>
            <b/>
            <sz val="10"/>
            <color indexed="81"/>
            <rFont val="Tahoma"/>
            <family val="2"/>
          </rPr>
          <t xml:space="preserve">Enter Plate
Thickness
in </t>
        </r>
        <r>
          <rPr>
            <b/>
            <sz val="10"/>
            <color indexed="10"/>
            <rFont val="Tahoma"/>
            <family val="2"/>
          </rPr>
          <t>Millimeters</t>
        </r>
        <r>
          <rPr>
            <sz val="8"/>
            <color indexed="81"/>
            <rFont val="Tahoma"/>
          </rPr>
          <t xml:space="preserve">
</t>
        </r>
      </text>
    </comment>
    <comment ref="B18" authorId="0">
      <text>
        <r>
          <rPr>
            <b/>
            <sz val="10"/>
            <color indexed="81"/>
            <rFont val="Tahoma"/>
            <family val="2"/>
          </rPr>
          <t xml:space="preserve">Enter Girder Depth
in </t>
        </r>
        <r>
          <rPr>
            <b/>
            <sz val="10"/>
            <color indexed="10"/>
            <rFont val="Tahoma"/>
            <family val="2"/>
          </rPr>
          <t>Inches</t>
        </r>
        <r>
          <rPr>
            <sz val="8"/>
            <color indexed="81"/>
            <rFont val="Tahoma"/>
          </rPr>
          <t xml:space="preserve">
</t>
        </r>
      </text>
    </comment>
    <comment ref="C18" authorId="0">
      <text>
        <r>
          <rPr>
            <b/>
            <sz val="10"/>
            <color indexed="81"/>
            <rFont val="Tahoma"/>
            <family val="2"/>
          </rPr>
          <t xml:space="preserve">Enter Web 
Thickness
In </t>
        </r>
        <r>
          <rPr>
            <b/>
            <sz val="10"/>
            <color indexed="10"/>
            <rFont val="Tahoma"/>
            <family val="2"/>
          </rPr>
          <t>Inches</t>
        </r>
        <r>
          <rPr>
            <sz val="8"/>
            <color indexed="81"/>
            <rFont val="Tahoma"/>
          </rPr>
          <t xml:space="preserve">
</t>
        </r>
      </text>
    </comment>
    <comment ref="D18" authorId="0">
      <text>
        <r>
          <rPr>
            <b/>
            <sz val="10"/>
            <color indexed="81"/>
            <rFont val="Tahoma"/>
            <family val="2"/>
          </rPr>
          <t xml:space="preserve">Enter Flange
Width
in </t>
        </r>
        <r>
          <rPr>
            <b/>
            <sz val="10"/>
            <color indexed="10"/>
            <rFont val="Tahoma"/>
            <family val="2"/>
          </rPr>
          <t>Inches</t>
        </r>
        <r>
          <rPr>
            <sz val="8"/>
            <color indexed="81"/>
            <rFont val="Tahoma"/>
          </rPr>
          <t xml:space="preserve">
</t>
        </r>
      </text>
    </comment>
    <comment ref="E18" authorId="0">
      <text>
        <r>
          <rPr>
            <b/>
            <sz val="10"/>
            <color indexed="81"/>
            <rFont val="Tahoma"/>
            <family val="2"/>
          </rPr>
          <t xml:space="preserve">Enter Flange
Thickness
in </t>
        </r>
        <r>
          <rPr>
            <b/>
            <sz val="10"/>
            <color indexed="10"/>
            <rFont val="Tahoma"/>
            <family val="2"/>
          </rPr>
          <t>Inches</t>
        </r>
        <r>
          <rPr>
            <sz val="8"/>
            <color indexed="81"/>
            <rFont val="Tahoma"/>
          </rPr>
          <t xml:space="preserve">
</t>
        </r>
      </text>
    </comment>
    <comment ref="J18" authorId="0">
      <text>
        <r>
          <rPr>
            <b/>
            <sz val="10"/>
            <color indexed="81"/>
            <rFont val="Tahoma"/>
            <family val="2"/>
          </rPr>
          <t>Enter Girder
Length
in</t>
        </r>
        <r>
          <rPr>
            <b/>
            <sz val="10"/>
            <color indexed="10"/>
            <rFont val="Tahoma"/>
            <family val="2"/>
          </rPr>
          <t xml:space="preserve"> Feet</t>
        </r>
        <r>
          <rPr>
            <sz val="8"/>
            <color indexed="81"/>
            <rFont val="Tahoma"/>
          </rPr>
          <t xml:space="preserve">
</t>
        </r>
      </text>
    </comment>
    <comment ref="B25" authorId="0">
      <text>
        <r>
          <rPr>
            <b/>
            <sz val="10"/>
            <color indexed="81"/>
            <rFont val="Tahoma"/>
            <family val="2"/>
          </rPr>
          <t xml:space="preserve">Enter Girder Depth in
</t>
        </r>
        <r>
          <rPr>
            <b/>
            <sz val="10"/>
            <color indexed="10"/>
            <rFont val="Tahoma"/>
            <family val="2"/>
          </rPr>
          <t>Millimeters</t>
        </r>
        <r>
          <rPr>
            <sz val="8"/>
            <color indexed="81"/>
            <rFont val="Tahoma"/>
          </rPr>
          <t xml:space="preserve">
</t>
        </r>
      </text>
    </comment>
    <comment ref="C25" authorId="0">
      <text>
        <r>
          <rPr>
            <b/>
            <sz val="10"/>
            <color indexed="81"/>
            <rFont val="Tahoma"/>
            <family val="2"/>
          </rPr>
          <t xml:space="preserve">Enter Web
Thickness in
</t>
        </r>
        <r>
          <rPr>
            <b/>
            <sz val="10"/>
            <color indexed="10"/>
            <rFont val="Tahoma"/>
            <family val="2"/>
          </rPr>
          <t>Millimeters</t>
        </r>
        <r>
          <rPr>
            <sz val="8"/>
            <color indexed="81"/>
            <rFont val="Tahoma"/>
          </rPr>
          <t xml:space="preserve">
</t>
        </r>
      </text>
    </comment>
    <comment ref="D25" authorId="0">
      <text>
        <r>
          <rPr>
            <b/>
            <sz val="10"/>
            <color indexed="81"/>
            <rFont val="Tahoma"/>
            <family val="2"/>
          </rPr>
          <t xml:space="preserve">Enter Flange
Width in
</t>
        </r>
        <r>
          <rPr>
            <b/>
            <sz val="10"/>
            <color indexed="10"/>
            <rFont val="Tahoma"/>
            <family val="2"/>
          </rPr>
          <t>Millimeters</t>
        </r>
        <r>
          <rPr>
            <sz val="8"/>
            <color indexed="81"/>
            <rFont val="Tahoma"/>
          </rPr>
          <t xml:space="preserve">
</t>
        </r>
      </text>
    </comment>
    <comment ref="E25" authorId="0">
      <text>
        <r>
          <rPr>
            <b/>
            <sz val="10"/>
            <color indexed="81"/>
            <rFont val="Tahoma"/>
            <family val="2"/>
          </rPr>
          <t xml:space="preserve">Enter Flange
Thickness in
</t>
        </r>
        <r>
          <rPr>
            <b/>
            <sz val="10"/>
            <color indexed="10"/>
            <rFont val="Tahoma"/>
            <family val="2"/>
          </rPr>
          <t>Millimeters</t>
        </r>
        <r>
          <rPr>
            <sz val="8"/>
            <color indexed="81"/>
            <rFont val="Tahoma"/>
          </rPr>
          <t xml:space="preserve">
</t>
        </r>
      </text>
    </comment>
    <comment ref="J25" authorId="0">
      <text>
        <r>
          <rPr>
            <b/>
            <sz val="10"/>
            <color indexed="81"/>
            <rFont val="Tahoma"/>
            <family val="2"/>
          </rPr>
          <t xml:space="preserve">Enter Girder
Length in
</t>
        </r>
        <r>
          <rPr>
            <b/>
            <sz val="10"/>
            <color indexed="10"/>
            <rFont val="Tahoma"/>
            <family val="2"/>
          </rPr>
          <t>Meters</t>
        </r>
        <r>
          <rPr>
            <sz val="8"/>
            <color indexed="81"/>
            <rFont val="Tahoma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cEllis</author>
  </authors>
  <commentList>
    <comment ref="H4" authorId="0">
      <text>
        <r>
          <rPr>
            <b/>
            <sz val="12"/>
            <color indexed="12"/>
            <rFont val="Tahoma"/>
            <family val="2"/>
          </rPr>
          <t xml:space="preserve">Enter Length
in </t>
        </r>
        <r>
          <rPr>
            <b/>
            <sz val="12"/>
            <color indexed="10"/>
            <rFont val="Tahoma"/>
            <family val="2"/>
          </rPr>
          <t>Feet</t>
        </r>
        <r>
          <rPr>
            <sz val="8"/>
            <color indexed="81"/>
            <rFont val="Tahoma"/>
          </rPr>
          <t xml:space="preserve">
</t>
        </r>
      </text>
    </comment>
    <comment ref="C8" authorId="0">
      <text>
        <r>
          <rPr>
            <b/>
            <sz val="12"/>
            <color indexed="12"/>
            <rFont val="Tahoma"/>
            <family val="2"/>
          </rPr>
          <t>Enter Depth</t>
        </r>
        <r>
          <rPr>
            <b/>
            <sz val="12"/>
            <color indexed="81"/>
            <rFont val="Tahoma"/>
            <family val="2"/>
          </rPr>
          <t xml:space="preserve">
</t>
        </r>
        <r>
          <rPr>
            <b/>
            <sz val="12"/>
            <color indexed="12"/>
            <rFont val="Tahoma"/>
            <family val="2"/>
          </rPr>
          <t xml:space="preserve">in </t>
        </r>
        <r>
          <rPr>
            <b/>
            <sz val="12"/>
            <color indexed="10"/>
            <rFont val="Tahoma"/>
            <family val="2"/>
          </rPr>
          <t>Inches</t>
        </r>
        <r>
          <rPr>
            <sz val="8"/>
            <color indexed="81"/>
            <rFont val="Tahoma"/>
          </rPr>
          <t xml:space="preserve">
</t>
        </r>
      </text>
    </comment>
    <comment ref="L11" authorId="0">
      <text>
        <r>
          <rPr>
            <b/>
            <sz val="12"/>
            <color indexed="12"/>
            <rFont val="Tahoma"/>
            <family val="2"/>
          </rPr>
          <t xml:space="preserve">Enter Column
Width
</t>
        </r>
        <r>
          <rPr>
            <b/>
            <sz val="12"/>
            <color indexed="10"/>
            <rFont val="Tahoma"/>
            <family val="2"/>
          </rPr>
          <t>Inches</t>
        </r>
        <r>
          <rPr>
            <sz val="8"/>
            <color indexed="81"/>
            <rFont val="Tahoma"/>
          </rPr>
          <t xml:space="preserve">
</t>
        </r>
      </text>
    </comment>
    <comment ref="I14" authorId="0">
      <text>
        <r>
          <rPr>
            <b/>
            <sz val="12"/>
            <color indexed="12"/>
            <rFont val="Tahoma"/>
            <family val="2"/>
          </rPr>
          <t xml:space="preserve">Enter Brace
Diameter
</t>
        </r>
        <r>
          <rPr>
            <b/>
            <sz val="12"/>
            <color indexed="10"/>
            <rFont val="Tahoma"/>
            <family val="2"/>
          </rPr>
          <t>Inches</t>
        </r>
        <r>
          <rPr>
            <sz val="8"/>
            <color indexed="81"/>
            <rFont val="Tahoma"/>
          </rPr>
          <t xml:space="preserve">
</t>
        </r>
      </text>
    </comment>
    <comment ref="N15" authorId="0">
      <text>
        <r>
          <rPr>
            <b/>
            <sz val="12"/>
            <color indexed="12"/>
            <rFont val="Tahoma"/>
            <family val="2"/>
          </rPr>
          <t xml:space="preserve">Enter Depth
in
</t>
        </r>
        <r>
          <rPr>
            <b/>
            <sz val="12"/>
            <color indexed="10"/>
            <rFont val="Tahoma"/>
            <family val="2"/>
          </rPr>
          <t>Feet</t>
        </r>
        <r>
          <rPr>
            <sz val="8"/>
            <color indexed="81"/>
            <rFont val="Tahoma"/>
          </rPr>
          <t xml:space="preserve">
</t>
        </r>
      </text>
    </comment>
    <comment ref="D19" authorId="0">
      <text>
        <r>
          <rPr>
            <b/>
            <sz val="12"/>
            <color indexed="12"/>
            <rFont val="Tahoma"/>
            <family val="2"/>
          </rPr>
          <t xml:space="preserve">Enter Column
Width
</t>
        </r>
        <r>
          <rPr>
            <b/>
            <sz val="12"/>
            <color indexed="10"/>
            <rFont val="Tahoma"/>
            <family val="2"/>
          </rPr>
          <t>Inches</t>
        </r>
        <r>
          <rPr>
            <sz val="8"/>
            <color indexed="81"/>
            <rFont val="Tahoma"/>
          </rPr>
          <t xml:space="preserve">
</t>
        </r>
      </text>
    </comment>
    <comment ref="H34" authorId="0">
      <text>
        <r>
          <rPr>
            <b/>
            <sz val="12"/>
            <color indexed="12"/>
            <rFont val="Tahoma"/>
            <family val="2"/>
          </rPr>
          <t xml:space="preserve">Enter Length
in </t>
        </r>
        <r>
          <rPr>
            <b/>
            <sz val="12"/>
            <color indexed="10"/>
            <rFont val="Tahoma"/>
            <family val="2"/>
          </rPr>
          <t>Feet</t>
        </r>
        <r>
          <rPr>
            <sz val="8"/>
            <color indexed="81"/>
            <rFont val="Tahoma"/>
          </rPr>
          <t xml:space="preserve">
</t>
        </r>
      </text>
    </comment>
    <comment ref="D35" authorId="0">
      <text>
        <r>
          <rPr>
            <b/>
            <sz val="12"/>
            <color indexed="12"/>
            <rFont val="Tahoma"/>
            <family val="2"/>
          </rPr>
          <t>Enter Offset</t>
        </r>
        <r>
          <rPr>
            <b/>
            <sz val="12"/>
            <color indexed="10"/>
            <rFont val="Tahoma"/>
            <family val="2"/>
          </rPr>
          <t xml:space="preserve">
</t>
        </r>
        <r>
          <rPr>
            <b/>
            <sz val="12"/>
            <color indexed="12"/>
            <rFont val="Tahoma"/>
            <family val="2"/>
          </rPr>
          <t>in</t>
        </r>
        <r>
          <rPr>
            <b/>
            <sz val="12"/>
            <color indexed="10"/>
            <rFont val="Tahoma"/>
            <family val="2"/>
          </rPr>
          <t xml:space="preserve"> Inches</t>
        </r>
        <r>
          <rPr>
            <sz val="8"/>
            <color indexed="81"/>
            <rFont val="Tahoma"/>
          </rPr>
          <t xml:space="preserve">
</t>
        </r>
      </text>
    </comment>
    <comment ref="C40" authorId="0">
      <text>
        <r>
          <rPr>
            <b/>
            <sz val="12"/>
            <color indexed="12"/>
            <rFont val="Tahoma"/>
            <family val="2"/>
          </rPr>
          <t>Enter Depth</t>
        </r>
        <r>
          <rPr>
            <b/>
            <sz val="12"/>
            <color indexed="81"/>
            <rFont val="Tahoma"/>
            <family val="2"/>
          </rPr>
          <t xml:space="preserve">
</t>
        </r>
        <r>
          <rPr>
            <b/>
            <sz val="12"/>
            <color indexed="12"/>
            <rFont val="Tahoma"/>
            <family val="2"/>
          </rPr>
          <t>in</t>
        </r>
        <r>
          <rPr>
            <b/>
            <sz val="12"/>
            <color indexed="81"/>
            <rFont val="Tahoma"/>
            <family val="2"/>
          </rPr>
          <t xml:space="preserve"> </t>
        </r>
        <r>
          <rPr>
            <b/>
            <sz val="12"/>
            <color indexed="10"/>
            <rFont val="Tahoma"/>
            <family val="2"/>
          </rPr>
          <t>Inches</t>
        </r>
        <r>
          <rPr>
            <sz val="8"/>
            <color indexed="81"/>
            <rFont val="Tahoma"/>
          </rPr>
          <t xml:space="preserve">
</t>
        </r>
      </text>
    </comment>
    <comment ref="I46" authorId="0">
      <text>
        <r>
          <rPr>
            <b/>
            <sz val="12"/>
            <color indexed="12"/>
            <rFont val="Tahoma"/>
            <family val="2"/>
          </rPr>
          <t xml:space="preserve">Enter Brace
Diameter
</t>
        </r>
        <r>
          <rPr>
            <b/>
            <sz val="12"/>
            <color indexed="10"/>
            <rFont val="Tahoma"/>
            <family val="2"/>
          </rPr>
          <t>Inches</t>
        </r>
        <r>
          <rPr>
            <sz val="8"/>
            <color indexed="81"/>
            <rFont val="Tahoma"/>
          </rPr>
          <t xml:space="preserve">
</t>
        </r>
      </text>
    </comment>
    <comment ref="N47" authorId="0">
      <text>
        <r>
          <rPr>
            <b/>
            <sz val="12"/>
            <color indexed="12"/>
            <rFont val="Tahoma"/>
            <family val="2"/>
          </rPr>
          <t xml:space="preserve">Enter Depth
in
</t>
        </r>
        <r>
          <rPr>
            <b/>
            <sz val="12"/>
            <color indexed="10"/>
            <rFont val="Tahoma"/>
            <family val="2"/>
          </rPr>
          <t>Feet</t>
        </r>
        <r>
          <rPr>
            <sz val="8"/>
            <color indexed="81"/>
            <rFont val="Tahoma"/>
          </rPr>
          <t xml:space="preserve">
</t>
        </r>
      </text>
    </comment>
    <comment ref="D50" authorId="0">
      <text>
        <r>
          <rPr>
            <b/>
            <sz val="12"/>
            <color indexed="10"/>
            <rFont val="Tahoma"/>
            <family val="2"/>
          </rPr>
          <t>Warning !!
Formula</t>
        </r>
      </text>
    </comment>
    <comment ref="M59" authorId="0">
      <text>
        <r>
          <rPr>
            <b/>
            <sz val="12"/>
            <color indexed="12"/>
            <rFont val="Tahoma"/>
            <family val="2"/>
          </rPr>
          <t xml:space="preserve">Enter Offset
in </t>
        </r>
        <r>
          <rPr>
            <b/>
            <sz val="12"/>
            <color indexed="10"/>
            <rFont val="Tahoma"/>
            <family val="2"/>
          </rPr>
          <t>Inches</t>
        </r>
        <r>
          <rPr>
            <sz val="8"/>
            <color indexed="81"/>
            <rFont val="Tahoma"/>
          </rPr>
          <t xml:space="preserve">
</t>
        </r>
      </text>
    </comment>
    <comment ref="H66" authorId="0">
      <text>
        <r>
          <rPr>
            <b/>
            <sz val="12"/>
            <color indexed="12"/>
            <rFont val="Tahoma"/>
            <family val="2"/>
          </rPr>
          <t xml:space="preserve">Enter Length
in </t>
        </r>
        <r>
          <rPr>
            <b/>
            <sz val="12"/>
            <color indexed="10"/>
            <rFont val="Tahoma"/>
            <family val="2"/>
          </rPr>
          <t>Feet</t>
        </r>
        <r>
          <rPr>
            <sz val="8"/>
            <color indexed="81"/>
            <rFont val="Tahoma"/>
          </rPr>
          <t xml:space="preserve">
</t>
        </r>
      </text>
    </comment>
    <comment ref="D67" authorId="0">
      <text>
        <r>
          <rPr>
            <b/>
            <sz val="12"/>
            <color indexed="12"/>
            <rFont val="Tahoma"/>
            <family val="2"/>
          </rPr>
          <t>Enter Offset</t>
        </r>
        <r>
          <rPr>
            <b/>
            <sz val="12"/>
            <color indexed="10"/>
            <rFont val="Tahoma"/>
            <family val="2"/>
          </rPr>
          <t xml:space="preserve">
</t>
        </r>
        <r>
          <rPr>
            <b/>
            <sz val="12"/>
            <color indexed="12"/>
            <rFont val="Tahoma"/>
            <family val="2"/>
          </rPr>
          <t>in</t>
        </r>
        <r>
          <rPr>
            <b/>
            <sz val="12"/>
            <color indexed="10"/>
            <rFont val="Tahoma"/>
            <family val="2"/>
          </rPr>
          <t xml:space="preserve"> Inches</t>
        </r>
        <r>
          <rPr>
            <sz val="8"/>
            <color indexed="81"/>
            <rFont val="Tahoma"/>
          </rPr>
          <t xml:space="preserve">
</t>
        </r>
      </text>
    </comment>
    <comment ref="G70" authorId="0">
      <text>
        <r>
          <rPr>
            <b/>
            <sz val="12"/>
            <color indexed="10"/>
            <rFont val="Tahoma"/>
            <family val="2"/>
          </rPr>
          <t>Warning !!
Formula</t>
        </r>
      </text>
    </comment>
    <comment ref="C72" authorId="0">
      <text>
        <r>
          <rPr>
            <b/>
            <sz val="12"/>
            <color indexed="12"/>
            <rFont val="Tahoma"/>
            <family val="2"/>
          </rPr>
          <t>Enter Depth</t>
        </r>
        <r>
          <rPr>
            <b/>
            <sz val="12"/>
            <color indexed="81"/>
            <rFont val="Tahoma"/>
            <family val="2"/>
          </rPr>
          <t xml:space="preserve">
</t>
        </r>
        <r>
          <rPr>
            <b/>
            <sz val="12"/>
            <color indexed="12"/>
            <rFont val="Tahoma"/>
            <family val="2"/>
          </rPr>
          <t>in</t>
        </r>
        <r>
          <rPr>
            <b/>
            <sz val="12"/>
            <color indexed="81"/>
            <rFont val="Tahoma"/>
            <family val="2"/>
          </rPr>
          <t xml:space="preserve"> </t>
        </r>
        <r>
          <rPr>
            <b/>
            <sz val="12"/>
            <color indexed="10"/>
            <rFont val="Tahoma"/>
            <family val="2"/>
          </rPr>
          <t>Inches</t>
        </r>
        <r>
          <rPr>
            <sz val="8"/>
            <color indexed="81"/>
            <rFont val="Tahoma"/>
          </rPr>
          <t xml:space="preserve">
</t>
        </r>
      </text>
    </comment>
    <comment ref="I78" authorId="0">
      <text>
        <r>
          <rPr>
            <b/>
            <sz val="12"/>
            <color indexed="12"/>
            <rFont val="Tahoma"/>
            <family val="2"/>
          </rPr>
          <t xml:space="preserve">Enter Brace
Diameter
</t>
        </r>
        <r>
          <rPr>
            <b/>
            <sz val="12"/>
            <color indexed="10"/>
            <rFont val="Tahoma"/>
            <family val="2"/>
          </rPr>
          <t>Inches</t>
        </r>
        <r>
          <rPr>
            <sz val="8"/>
            <color indexed="81"/>
            <rFont val="Tahoma"/>
          </rPr>
          <t xml:space="preserve">
</t>
        </r>
      </text>
    </comment>
    <comment ref="N79" authorId="0">
      <text>
        <r>
          <rPr>
            <b/>
            <sz val="12"/>
            <color indexed="12"/>
            <rFont val="Tahoma"/>
            <family val="2"/>
          </rPr>
          <t xml:space="preserve">Enter Depth
in
</t>
        </r>
        <r>
          <rPr>
            <b/>
            <sz val="12"/>
            <color indexed="10"/>
            <rFont val="Tahoma"/>
            <family val="2"/>
          </rPr>
          <t>Feet</t>
        </r>
        <r>
          <rPr>
            <sz val="8"/>
            <color indexed="81"/>
            <rFont val="Tahoma"/>
          </rPr>
          <t xml:space="preserve">
</t>
        </r>
      </text>
    </comment>
    <comment ref="L82" authorId="0">
      <text>
        <r>
          <rPr>
            <b/>
            <sz val="12"/>
            <color indexed="12"/>
            <rFont val="Tahoma"/>
            <family val="2"/>
          </rPr>
          <t xml:space="preserve">Enter Columun
Width in
</t>
        </r>
        <r>
          <rPr>
            <b/>
            <sz val="12"/>
            <color indexed="10"/>
            <rFont val="Tahoma"/>
            <family val="2"/>
          </rPr>
          <t>Inches</t>
        </r>
        <r>
          <rPr>
            <sz val="8"/>
            <color indexed="81"/>
            <rFont val="Tahoma"/>
          </rPr>
          <t xml:space="preserve">
</t>
        </r>
      </text>
    </comment>
    <comment ref="H99" authorId="0">
      <text>
        <r>
          <rPr>
            <b/>
            <sz val="12"/>
            <color indexed="12"/>
            <rFont val="Tahoma"/>
            <family val="2"/>
          </rPr>
          <t xml:space="preserve">Enter Length
in </t>
        </r>
        <r>
          <rPr>
            <b/>
            <sz val="12"/>
            <color indexed="10"/>
            <rFont val="Tahoma"/>
            <family val="2"/>
          </rPr>
          <t>Feet</t>
        </r>
        <r>
          <rPr>
            <sz val="8"/>
            <color indexed="81"/>
            <rFont val="Tahoma"/>
          </rPr>
          <t xml:space="preserve">
</t>
        </r>
      </text>
    </comment>
    <comment ref="C105" authorId="0">
      <text>
        <r>
          <rPr>
            <b/>
            <sz val="12"/>
            <color indexed="12"/>
            <rFont val="Tahoma"/>
            <family val="2"/>
          </rPr>
          <t>Enter Depth</t>
        </r>
        <r>
          <rPr>
            <b/>
            <sz val="12"/>
            <color indexed="81"/>
            <rFont val="Tahoma"/>
            <family val="2"/>
          </rPr>
          <t xml:space="preserve">
</t>
        </r>
        <r>
          <rPr>
            <b/>
            <sz val="12"/>
            <color indexed="12"/>
            <rFont val="Tahoma"/>
            <family val="2"/>
          </rPr>
          <t>in</t>
        </r>
        <r>
          <rPr>
            <b/>
            <sz val="12"/>
            <color indexed="81"/>
            <rFont val="Tahoma"/>
            <family val="2"/>
          </rPr>
          <t xml:space="preserve"> </t>
        </r>
        <r>
          <rPr>
            <b/>
            <sz val="12"/>
            <color indexed="10"/>
            <rFont val="Tahoma"/>
            <family val="2"/>
          </rPr>
          <t>Inches</t>
        </r>
        <r>
          <rPr>
            <sz val="8"/>
            <color indexed="81"/>
            <rFont val="Tahoma"/>
          </rPr>
          <t xml:space="preserve">
</t>
        </r>
      </text>
    </comment>
    <comment ref="I111" authorId="0">
      <text>
        <r>
          <rPr>
            <b/>
            <sz val="12"/>
            <color indexed="12"/>
            <rFont val="Tahoma"/>
            <family val="2"/>
          </rPr>
          <t xml:space="preserve">Enter Brace
Diameter
</t>
        </r>
        <r>
          <rPr>
            <b/>
            <sz val="12"/>
            <color indexed="10"/>
            <rFont val="Tahoma"/>
            <family val="2"/>
          </rPr>
          <t>Inches</t>
        </r>
        <r>
          <rPr>
            <sz val="8"/>
            <color indexed="81"/>
            <rFont val="Tahoma"/>
          </rPr>
          <t xml:space="preserve">
</t>
        </r>
      </text>
    </comment>
    <comment ref="N112" authorId="0">
      <text>
        <r>
          <rPr>
            <b/>
            <sz val="12"/>
            <color indexed="12"/>
            <rFont val="Tahoma"/>
            <family val="2"/>
          </rPr>
          <t xml:space="preserve">Enter Depth
in
</t>
        </r>
        <r>
          <rPr>
            <b/>
            <sz val="12"/>
            <color indexed="10"/>
            <rFont val="Tahoma"/>
            <family val="2"/>
          </rPr>
          <t>Feet</t>
        </r>
        <r>
          <rPr>
            <sz val="8"/>
            <color indexed="81"/>
            <rFont val="Tahoma"/>
          </rPr>
          <t xml:space="preserve">
</t>
        </r>
      </text>
    </comment>
    <comment ref="L115" authorId="0">
      <text>
        <r>
          <rPr>
            <b/>
            <sz val="12"/>
            <color indexed="12"/>
            <rFont val="Tahoma"/>
            <family val="2"/>
          </rPr>
          <t xml:space="preserve">Enter Columun
Width in
</t>
        </r>
        <r>
          <rPr>
            <b/>
            <sz val="12"/>
            <color indexed="10"/>
            <rFont val="Tahoma"/>
            <family val="2"/>
          </rPr>
          <t>Inches</t>
        </r>
        <r>
          <rPr>
            <sz val="8"/>
            <color indexed="81"/>
            <rFont val="Tahoma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cEllis</author>
  </authors>
  <commentList>
    <comment ref="B5" authorId="0">
      <text>
        <r>
          <rPr>
            <b/>
            <sz val="10"/>
            <color indexed="81"/>
            <rFont val="Tahoma"/>
            <family val="2"/>
          </rPr>
          <t xml:space="preserve">Enter Pipe
Diameter
in </t>
        </r>
        <r>
          <rPr>
            <b/>
            <sz val="10"/>
            <color indexed="10"/>
            <rFont val="Tahoma"/>
            <family val="2"/>
          </rPr>
          <t>Inches</t>
        </r>
        <r>
          <rPr>
            <sz val="8"/>
            <color indexed="81"/>
            <rFont val="Tahoma"/>
          </rPr>
          <t xml:space="preserve">
</t>
        </r>
      </text>
    </comment>
    <comment ref="C5" authorId="0">
      <text>
        <r>
          <rPr>
            <b/>
            <sz val="10"/>
            <color indexed="81"/>
            <rFont val="Tahoma"/>
            <family val="2"/>
          </rPr>
          <t>Enter Pipe Wall
Thickness
in</t>
        </r>
        <r>
          <rPr>
            <b/>
            <sz val="10"/>
            <color indexed="10"/>
            <rFont val="Tahoma"/>
            <family val="2"/>
          </rPr>
          <t xml:space="preserve"> Inches</t>
        </r>
        <r>
          <rPr>
            <b/>
            <sz val="10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CELLIS</author>
  </authors>
  <commentList>
    <comment ref="G24" authorId="0">
      <text>
        <r>
          <rPr>
            <b/>
            <sz val="8"/>
            <color indexed="81"/>
            <rFont val="Tahoma"/>
          </rPr>
          <t>CELLIS:</t>
        </r>
        <r>
          <rPr>
            <sz val="8"/>
            <color indexed="81"/>
            <rFont val="Tahoma"/>
          </rPr>
          <t xml:space="preserve">
</t>
        </r>
        <r>
          <rPr>
            <b/>
            <sz val="8"/>
            <color indexed="12"/>
            <rFont val="Tahoma"/>
            <family val="2"/>
          </rPr>
          <t>Enter ID in Inches</t>
        </r>
      </text>
    </comment>
  </commentList>
</comments>
</file>

<file path=xl/sharedStrings.xml><?xml version="1.0" encoding="utf-8"?>
<sst xmlns="http://schemas.openxmlformats.org/spreadsheetml/2006/main" count="8677" uniqueCount="2009">
  <si>
    <t>12-51</t>
  </si>
  <si>
    <t>16-2 1/8</t>
  </si>
  <si>
    <t>16-54</t>
  </si>
  <si>
    <t>16-2 3/8</t>
  </si>
  <si>
    <t>16-60</t>
  </si>
  <si>
    <t>16 - 2 5/8</t>
  </si>
  <si>
    <t>16 - 67</t>
  </si>
  <si>
    <t>16- 2 7/8</t>
  </si>
  <si>
    <t>16- 73</t>
  </si>
  <si>
    <t>16-3 1/8</t>
  </si>
  <si>
    <t>16-79</t>
  </si>
  <si>
    <t>16 -3 5/8</t>
  </si>
  <si>
    <t>16 -92</t>
  </si>
  <si>
    <r>
      <t>150</t>
    </r>
    <r>
      <rPr>
        <b/>
        <sz val="10"/>
        <rFont val="Arial"/>
        <family val="2"/>
      </rPr>
      <t xml:space="preserve"> LB. FLANGES - </t>
    </r>
    <r>
      <rPr>
        <b/>
        <sz val="10"/>
        <color indexed="10"/>
        <rFont val="Arial"/>
        <family val="2"/>
      </rPr>
      <t>INCHES</t>
    </r>
  </si>
  <si>
    <r>
      <t>150</t>
    </r>
    <r>
      <rPr>
        <b/>
        <sz val="10"/>
        <rFont val="Arial"/>
        <family val="2"/>
      </rPr>
      <t xml:space="preserve"> LB. FLANGES - </t>
    </r>
    <r>
      <rPr>
        <b/>
        <sz val="10"/>
        <color indexed="10"/>
        <rFont val="Arial"/>
        <family val="2"/>
      </rPr>
      <t>MILLIMETERS</t>
    </r>
  </si>
  <si>
    <r>
      <t>300</t>
    </r>
    <r>
      <rPr>
        <b/>
        <sz val="10"/>
        <rFont val="Arial"/>
        <family val="2"/>
      </rPr>
      <t xml:space="preserve"> LB. FLANGES - </t>
    </r>
    <r>
      <rPr>
        <b/>
        <sz val="10"/>
        <color indexed="10"/>
        <rFont val="Arial"/>
        <family val="2"/>
      </rPr>
      <t>INCHES</t>
    </r>
  </si>
  <si>
    <r>
      <t xml:space="preserve">300 </t>
    </r>
    <r>
      <rPr>
        <b/>
        <sz val="10"/>
        <rFont val="Arial"/>
        <family val="2"/>
      </rPr>
      <t xml:space="preserve">LB. FLANGES - </t>
    </r>
    <r>
      <rPr>
        <b/>
        <sz val="10"/>
        <color indexed="10"/>
        <rFont val="Arial"/>
        <family val="2"/>
      </rPr>
      <t>MILLIMETERS</t>
    </r>
  </si>
  <si>
    <r>
      <t>400</t>
    </r>
    <r>
      <rPr>
        <b/>
        <sz val="10"/>
        <rFont val="Arial"/>
        <family val="2"/>
      </rPr>
      <t xml:space="preserve"> LB. FLANGES - </t>
    </r>
    <r>
      <rPr>
        <b/>
        <sz val="10"/>
        <color indexed="10"/>
        <rFont val="Arial"/>
        <family val="2"/>
      </rPr>
      <t>INCHES</t>
    </r>
  </si>
  <si>
    <r>
      <t>400</t>
    </r>
    <r>
      <rPr>
        <b/>
        <sz val="10"/>
        <rFont val="Arial"/>
        <family val="2"/>
      </rPr>
      <t xml:space="preserve"> LB. FLANGES - </t>
    </r>
    <r>
      <rPr>
        <b/>
        <sz val="10"/>
        <color indexed="10"/>
        <rFont val="Arial"/>
        <family val="2"/>
      </rPr>
      <t>MILLIMETERS</t>
    </r>
  </si>
  <si>
    <r>
      <t>600</t>
    </r>
    <r>
      <rPr>
        <b/>
        <sz val="10"/>
        <rFont val="Arial"/>
        <family val="2"/>
      </rPr>
      <t xml:space="preserve"> LB. FLANGES - </t>
    </r>
    <r>
      <rPr>
        <b/>
        <sz val="10"/>
        <color indexed="10"/>
        <rFont val="Arial"/>
        <family val="2"/>
      </rPr>
      <t>INCHES</t>
    </r>
  </si>
  <si>
    <r>
      <t>600</t>
    </r>
    <r>
      <rPr>
        <b/>
        <sz val="10"/>
        <rFont val="Arial"/>
        <family val="2"/>
      </rPr>
      <t xml:space="preserve"> LB. FLANGES - </t>
    </r>
    <r>
      <rPr>
        <b/>
        <sz val="10"/>
        <color indexed="10"/>
        <rFont val="Arial"/>
        <family val="2"/>
      </rPr>
      <t>MILLIMETERS</t>
    </r>
  </si>
  <si>
    <r>
      <t>900</t>
    </r>
    <r>
      <rPr>
        <b/>
        <sz val="10"/>
        <rFont val="Arial"/>
        <family val="2"/>
      </rPr>
      <t xml:space="preserve"> LB. FLANGES - </t>
    </r>
    <r>
      <rPr>
        <b/>
        <sz val="10"/>
        <color indexed="10"/>
        <rFont val="Arial"/>
        <family val="2"/>
      </rPr>
      <t>INCHES</t>
    </r>
  </si>
  <si>
    <r>
      <t>900</t>
    </r>
    <r>
      <rPr>
        <b/>
        <sz val="10"/>
        <rFont val="Arial"/>
        <family val="2"/>
      </rPr>
      <t xml:space="preserve"> LB. FLANGES - </t>
    </r>
    <r>
      <rPr>
        <b/>
        <sz val="10"/>
        <color indexed="10"/>
        <rFont val="Arial"/>
        <family val="2"/>
      </rPr>
      <t>MILLIMETERS</t>
    </r>
  </si>
  <si>
    <r>
      <t>1500</t>
    </r>
    <r>
      <rPr>
        <b/>
        <sz val="10"/>
        <rFont val="Arial"/>
        <family val="2"/>
      </rPr>
      <t xml:space="preserve"> LB. FLANGES - </t>
    </r>
    <r>
      <rPr>
        <b/>
        <sz val="10"/>
        <color indexed="10"/>
        <rFont val="Arial"/>
        <family val="2"/>
      </rPr>
      <t>INCHES</t>
    </r>
  </si>
  <si>
    <r>
      <t>1500</t>
    </r>
    <r>
      <rPr>
        <b/>
        <sz val="10"/>
        <rFont val="Arial"/>
        <family val="2"/>
      </rPr>
      <t xml:space="preserve"> LB. FLANGES - </t>
    </r>
    <r>
      <rPr>
        <b/>
        <sz val="10"/>
        <color indexed="10"/>
        <rFont val="Arial"/>
        <family val="2"/>
      </rPr>
      <t>MILLIMETERS</t>
    </r>
  </si>
  <si>
    <r>
      <t xml:space="preserve">        </t>
    </r>
    <r>
      <rPr>
        <b/>
        <sz val="12"/>
        <color indexed="10"/>
        <rFont val="Arial"/>
        <family val="2"/>
      </rPr>
      <t>**</t>
    </r>
    <r>
      <rPr>
        <b/>
        <sz val="12"/>
        <rFont val="Arial"/>
        <family val="2"/>
      </rPr>
      <t xml:space="preserve">Y  </t>
    </r>
    <r>
      <rPr>
        <b/>
        <sz val="8"/>
        <rFont val="Arial"/>
        <family val="2"/>
      </rPr>
      <t>(See Note Above)</t>
    </r>
  </si>
  <si>
    <r>
      <t>**</t>
    </r>
    <r>
      <rPr>
        <sz val="10"/>
        <rFont val="Arial"/>
      </rPr>
      <t xml:space="preserve"> The </t>
    </r>
    <r>
      <rPr>
        <b/>
        <sz val="10"/>
        <rFont val="Arial"/>
        <family val="2"/>
      </rPr>
      <t>1/4"</t>
    </r>
    <r>
      <rPr>
        <sz val="10"/>
        <rFont val="Arial"/>
      </rPr>
      <t xml:space="preserve"> raised face is not included in the thickness "</t>
    </r>
    <r>
      <rPr>
        <b/>
        <sz val="10"/>
        <rFont val="Arial"/>
        <family val="2"/>
      </rPr>
      <t>Y</t>
    </r>
    <r>
      <rPr>
        <sz val="10"/>
        <rFont val="Arial"/>
      </rPr>
      <t>" or "</t>
    </r>
    <r>
      <rPr>
        <b/>
        <sz val="10"/>
        <rFont val="Arial"/>
        <family val="2"/>
      </rPr>
      <t>C</t>
    </r>
    <r>
      <rPr>
        <sz val="10"/>
        <rFont val="Arial"/>
      </rPr>
      <t>"</t>
    </r>
  </si>
  <si>
    <r>
      <t>**</t>
    </r>
    <r>
      <rPr>
        <sz val="10"/>
        <rFont val="Arial"/>
      </rPr>
      <t xml:space="preserve"> The </t>
    </r>
    <r>
      <rPr>
        <b/>
        <sz val="10"/>
        <rFont val="Arial"/>
        <family val="2"/>
      </rPr>
      <t>6mm</t>
    </r>
    <r>
      <rPr>
        <sz val="10"/>
        <rFont val="Arial"/>
      </rPr>
      <t xml:space="preserve"> raised face is not included in the thickness "</t>
    </r>
    <r>
      <rPr>
        <b/>
        <sz val="10"/>
        <rFont val="Arial"/>
        <family val="2"/>
      </rPr>
      <t>Y</t>
    </r>
    <r>
      <rPr>
        <sz val="10"/>
        <rFont val="Arial"/>
      </rPr>
      <t>" or "</t>
    </r>
    <r>
      <rPr>
        <b/>
        <sz val="10"/>
        <rFont val="Arial"/>
        <family val="2"/>
      </rPr>
      <t>C</t>
    </r>
    <r>
      <rPr>
        <sz val="10"/>
        <rFont val="Arial"/>
      </rPr>
      <t>"</t>
    </r>
  </si>
  <si>
    <r>
      <t>**</t>
    </r>
    <r>
      <rPr>
        <sz val="10"/>
        <rFont val="Arial"/>
      </rPr>
      <t xml:space="preserve"> The </t>
    </r>
    <r>
      <rPr>
        <b/>
        <sz val="10"/>
        <rFont val="Arial"/>
        <family val="2"/>
      </rPr>
      <t xml:space="preserve">1/4" </t>
    </r>
    <r>
      <rPr>
        <sz val="10"/>
        <rFont val="Arial"/>
      </rPr>
      <t>raised face is not included in the thickness "</t>
    </r>
    <r>
      <rPr>
        <b/>
        <sz val="10"/>
        <rFont val="Arial"/>
        <family val="2"/>
      </rPr>
      <t>Y</t>
    </r>
    <r>
      <rPr>
        <sz val="10"/>
        <rFont val="Arial"/>
      </rPr>
      <t>" or "</t>
    </r>
    <r>
      <rPr>
        <b/>
        <sz val="10"/>
        <rFont val="Arial"/>
        <family val="2"/>
      </rPr>
      <t>C</t>
    </r>
    <r>
      <rPr>
        <sz val="10"/>
        <rFont val="Arial"/>
      </rPr>
      <t>"</t>
    </r>
  </si>
  <si>
    <t xml:space="preserve"> millimeters</t>
  </si>
  <si>
    <t xml:space="preserve">      INCHES</t>
  </si>
  <si>
    <t>c</t>
  </si>
  <si>
    <t>a</t>
  </si>
  <si>
    <t>b</t>
  </si>
  <si>
    <t>Right Triangle</t>
  </si>
  <si>
    <t xml:space="preserve">             Known</t>
  </si>
  <si>
    <t xml:space="preserve">       Values Key in</t>
  </si>
  <si>
    <t>Formulas</t>
  </si>
  <si>
    <t xml:space="preserve">  Key In</t>
  </si>
  <si>
    <t>Angles are in Degrees</t>
  </si>
  <si>
    <t>Oblique Triangles</t>
  </si>
  <si>
    <t>Solutions</t>
  </si>
  <si>
    <t xml:space="preserve">           Known</t>
  </si>
  <si>
    <t xml:space="preserve">             Solutions</t>
  </si>
  <si>
    <t>Converter</t>
  </si>
  <si>
    <t>Feet + Inches =  Total in Feet</t>
  </si>
  <si>
    <t>Total Feet</t>
  </si>
  <si>
    <t xml:space="preserve">       Key In</t>
  </si>
  <si>
    <t xml:space="preserve">          Key In</t>
  </si>
  <si>
    <t xml:space="preserve"> Key In</t>
  </si>
  <si>
    <t>Qty.</t>
  </si>
  <si>
    <t>Width</t>
  </si>
  <si>
    <r>
      <t xml:space="preserve">Structural Plate Weight </t>
    </r>
    <r>
      <rPr>
        <b/>
        <sz val="12"/>
        <color indexed="10"/>
        <rFont val="Arial"/>
        <family val="2"/>
      </rPr>
      <t>(Metric)</t>
    </r>
  </si>
  <si>
    <r>
      <t xml:space="preserve">Structural Plate Weight </t>
    </r>
    <r>
      <rPr>
        <b/>
        <sz val="12"/>
        <color indexed="10"/>
        <rFont val="Arial"/>
        <family val="2"/>
      </rPr>
      <t>(English)</t>
    </r>
  </si>
  <si>
    <t xml:space="preserve">Bolt Length w/ </t>
  </si>
  <si>
    <r>
      <t>1</t>
    </r>
    <r>
      <rPr>
        <b/>
        <sz val="10"/>
        <rFont val="Arial"/>
        <family val="2"/>
      </rPr>
      <t>-Lg.</t>
    </r>
  </si>
  <si>
    <r>
      <t>2</t>
    </r>
    <r>
      <rPr>
        <b/>
        <sz val="10"/>
        <rFont val="Arial"/>
        <family val="2"/>
      </rPr>
      <t>-Lg.</t>
    </r>
  </si>
  <si>
    <r>
      <t>1</t>
    </r>
    <r>
      <rPr>
        <b/>
        <i/>
        <sz val="10"/>
        <rFont val="Arial"/>
        <family val="2"/>
      </rPr>
      <t>-With F.W.</t>
    </r>
  </si>
  <si>
    <r>
      <t>2</t>
    </r>
    <r>
      <rPr>
        <b/>
        <i/>
        <sz val="10"/>
        <rFont val="Arial"/>
        <family val="2"/>
      </rPr>
      <t>-With Bevel Washer</t>
    </r>
  </si>
  <si>
    <t>O.D. Inches</t>
  </si>
  <si>
    <t>Wall Thk. Inches</t>
  </si>
  <si>
    <t>Kg/Meter</t>
  </si>
  <si>
    <t>Lbs/Ft.</t>
  </si>
  <si>
    <t>Depth Inches</t>
  </si>
  <si>
    <t xml:space="preserve"> Steel Angle Properties - CG's &amp; Lbs/Ft</t>
  </si>
  <si>
    <t xml:space="preserve"> Round Bar (dia in millimeters) - Lbs/Ft</t>
  </si>
  <si>
    <t>Height      =</t>
  </si>
  <si>
    <t xml:space="preserve"> inches</t>
  </si>
  <si>
    <t>Diameter   =</t>
  </si>
  <si>
    <t xml:space="preserve"> mm</t>
  </si>
  <si>
    <t>Width      =</t>
  </si>
  <si>
    <t>Lbs/Ft     =</t>
  </si>
  <si>
    <t>Thickness =</t>
  </si>
  <si>
    <t xml:space="preserve"> Round Bar (dia in inches) - Lbs/Ft</t>
  </si>
  <si>
    <t>Xcg         =</t>
  </si>
  <si>
    <t>Ycg         =</t>
  </si>
  <si>
    <t xml:space="preserve"> Steel Plate Properties - Lbs/Ft</t>
  </si>
  <si>
    <t>Conversions - Metric / U.S.</t>
  </si>
  <si>
    <t>pounds X  0.45359 = kilograms</t>
  </si>
  <si>
    <t>kilograms X  2.2046 = pounds</t>
  </si>
  <si>
    <t>inches X  25.4 = millimeters</t>
  </si>
  <si>
    <t>millimeters X  0.03937 = inches</t>
  </si>
  <si>
    <t>feet X  0.3048 = meters</t>
  </si>
  <si>
    <t>meters X  3.28084 = feet</t>
  </si>
  <si>
    <t>cubic feet X  0.02832 = cubic meters</t>
  </si>
  <si>
    <t>cubic meters X  35.3107 = cubic feet</t>
  </si>
  <si>
    <t>kilograms/meter X 0.6720 = pounds/foot</t>
  </si>
  <si>
    <t xml:space="preserve"> Steel Pipe Properties - Lbs/Ft</t>
  </si>
  <si>
    <t>pounds/foot X 1.4881 = kilograms/meter</t>
  </si>
  <si>
    <t>Outside Dia =</t>
  </si>
  <si>
    <t>Miscellaneous - Metric / U.S.</t>
  </si>
  <si>
    <t>Wall Thck =</t>
  </si>
  <si>
    <t>Steel = 7850 kilograms per cubic meter</t>
  </si>
  <si>
    <t>Steel = 490 pounds per cubic foot</t>
  </si>
  <si>
    <t xml:space="preserve"> Steel Angle Properties - CG's &amp; Kgs/M</t>
  </si>
  <si>
    <t xml:space="preserve"> Steel Tee Properties - CG's &amp; Kgs/M</t>
  </si>
  <si>
    <t>Flange      =</t>
  </si>
  <si>
    <t xml:space="preserve">    Kg/M       =</t>
  </si>
  <si>
    <t>millimeters</t>
  </si>
  <si>
    <t>Kg/M      =</t>
  </si>
  <si>
    <t>Diameters</t>
  </si>
  <si>
    <t>d1=</t>
  </si>
  <si>
    <t>d2=</t>
  </si>
  <si>
    <t>D1=</t>
  </si>
  <si>
    <t>D2=</t>
  </si>
  <si>
    <t>H=</t>
  </si>
  <si>
    <t>Lbs     =</t>
  </si>
  <si>
    <t>Kg      =</t>
  </si>
  <si>
    <r>
      <t xml:space="preserve"> Steel Cone Weight (English Units - </t>
    </r>
    <r>
      <rPr>
        <b/>
        <sz val="10"/>
        <color indexed="10"/>
        <rFont val="Arial"/>
        <family val="2"/>
      </rPr>
      <t>Inches</t>
    </r>
    <r>
      <rPr>
        <b/>
        <sz val="10"/>
        <color indexed="12"/>
        <rFont val="Arial"/>
        <family val="2"/>
      </rPr>
      <t>)</t>
    </r>
  </si>
  <si>
    <r>
      <t xml:space="preserve"> Steel Cone Weight (Metric Units -</t>
    </r>
    <r>
      <rPr>
        <b/>
        <sz val="10"/>
        <color indexed="10"/>
        <rFont val="Arial"/>
        <family val="2"/>
      </rPr>
      <t>millimeters</t>
    </r>
    <r>
      <rPr>
        <b/>
        <sz val="10"/>
        <color indexed="12"/>
        <rFont val="Arial"/>
        <family val="2"/>
      </rPr>
      <t>)</t>
    </r>
  </si>
  <si>
    <t>The slope of surfaces of bolted parts in contact with the bolt head and nut shall not exceed 1:20 with respect to plane normal to the bolt</t>
  </si>
  <si>
    <t>axis. Bolted steel parts shall not be separated by gaskets and shall fit solidly together after bolts are tightened. Holes may be be punched,</t>
  </si>
  <si>
    <t>the nominal bolt diameter.</t>
  </si>
  <si>
    <r>
      <t>Oversized Holes</t>
    </r>
    <r>
      <rPr>
        <sz val="10"/>
        <color indexed="12"/>
        <rFont val="Arial"/>
        <family val="2"/>
      </rPr>
      <t xml:space="preserve"> </t>
    </r>
    <r>
      <rPr>
        <sz val="10"/>
        <rFont val="Arial"/>
        <family val="2"/>
      </rPr>
      <t xml:space="preserve">may have nominal diameters up to: </t>
    </r>
    <r>
      <rPr>
        <b/>
        <sz val="10"/>
        <rFont val="Arial"/>
        <family val="2"/>
      </rPr>
      <t>3/16"</t>
    </r>
    <r>
      <rPr>
        <sz val="10"/>
        <rFont val="Arial"/>
        <family val="2"/>
      </rPr>
      <t xml:space="preserve"> larger than bolts </t>
    </r>
    <r>
      <rPr>
        <b/>
        <sz val="10"/>
        <rFont val="Arial"/>
        <family val="2"/>
      </rPr>
      <t>7/8"</t>
    </r>
    <r>
      <rPr>
        <sz val="10"/>
        <rFont val="Arial"/>
        <family val="2"/>
      </rPr>
      <t xml:space="preserve"> and less in diameter, </t>
    </r>
    <r>
      <rPr>
        <b/>
        <sz val="10"/>
        <rFont val="Arial"/>
        <family val="2"/>
      </rPr>
      <t>1/4"</t>
    </r>
    <r>
      <rPr>
        <sz val="10"/>
        <rFont val="Arial"/>
        <family val="2"/>
      </rPr>
      <t xml:space="preserve"> for </t>
    </r>
    <r>
      <rPr>
        <b/>
        <sz val="10"/>
        <rFont val="Arial"/>
        <family val="2"/>
      </rPr>
      <t>1"</t>
    </r>
    <r>
      <rPr>
        <sz val="10"/>
        <rFont val="Arial"/>
        <family val="2"/>
      </rPr>
      <t xml:space="preserve"> in diameter</t>
    </r>
  </si>
  <si>
    <r>
      <t xml:space="preserve">and </t>
    </r>
    <r>
      <rPr>
        <b/>
        <sz val="10"/>
        <rFont val="Arial"/>
        <family val="2"/>
      </rPr>
      <t>5/16"</t>
    </r>
    <r>
      <rPr>
        <sz val="10"/>
        <rFont val="Arial"/>
      </rPr>
      <t xml:space="preserve"> larger than bolts </t>
    </r>
    <r>
      <rPr>
        <b/>
        <sz val="10"/>
        <rFont val="Arial"/>
        <family val="2"/>
      </rPr>
      <t>1-1/8"</t>
    </r>
    <r>
      <rPr>
        <sz val="10"/>
        <rFont val="Arial"/>
      </rPr>
      <t xml:space="preserve"> and greater in diameter. Haredened washers shall be installed over oversized holes in an outer ply.</t>
    </r>
  </si>
  <si>
    <t>1/2"</t>
  </si>
  <si>
    <t>5/8"</t>
  </si>
  <si>
    <t>3/4"</t>
  </si>
  <si>
    <t>7/8"</t>
  </si>
  <si>
    <t>1"</t>
  </si>
  <si>
    <t>1-1/8"</t>
  </si>
  <si>
    <t>1-1/4"</t>
  </si>
  <si>
    <t>1-3/8"</t>
  </si>
  <si>
    <t>1-1/2"</t>
  </si>
  <si>
    <t>&gt;1-1/2"</t>
  </si>
  <si>
    <t>Oversize</t>
  </si>
  <si>
    <t>Short</t>
  </si>
  <si>
    <t>Slotted</t>
  </si>
  <si>
    <t>Long</t>
  </si>
  <si>
    <t>13/16"</t>
  </si>
  <si>
    <t>15/16"</t>
  </si>
  <si>
    <t>1-1/16"</t>
  </si>
  <si>
    <t>1-7/16"</t>
  </si>
  <si>
    <t>1-9/16"</t>
  </si>
  <si>
    <t>1-11/16"</t>
  </si>
  <si>
    <t>1-13/16"</t>
  </si>
  <si>
    <t>d+5/16"</t>
  </si>
  <si>
    <t>9/16"x11/16"</t>
  </si>
  <si>
    <t>11/16"x7/8"</t>
  </si>
  <si>
    <t>13/16"x1"</t>
  </si>
  <si>
    <t>15/16"x1-1/8"</t>
  </si>
  <si>
    <t>1-1/16"x1-5/16"</t>
  </si>
  <si>
    <t>1-3/16"x1-1/2"</t>
  </si>
  <si>
    <t>1-5/16"x1-5/8"</t>
  </si>
  <si>
    <t>1-7/16"x1-3/4"</t>
  </si>
  <si>
    <t>1-9/16"x1-7/8"</t>
  </si>
  <si>
    <t>(d+1/16")x(d+3/8")</t>
  </si>
  <si>
    <t>9/16"x1-1/4"</t>
  </si>
  <si>
    <t>11/16"x1-9/16"</t>
  </si>
  <si>
    <t>13/16"x1-7/8"</t>
  </si>
  <si>
    <t>15/16"x2-3/16"</t>
  </si>
  <si>
    <t>1-1/16"x2-1/2"</t>
  </si>
  <si>
    <t>1-3/16"x2-13/16"</t>
  </si>
  <si>
    <t>1-5/16"x3-1/8"</t>
  </si>
  <si>
    <t>1-7/16"x3-7/16"</t>
  </si>
  <si>
    <t>1-9/16"x3-3/4"</t>
  </si>
  <si>
    <t>&gt;38</t>
  </si>
  <si>
    <t>&gt;46</t>
  </si>
  <si>
    <t>14x17</t>
  </si>
  <si>
    <t>17x22</t>
  </si>
  <si>
    <t>21x25</t>
  </si>
  <si>
    <t>24x29</t>
  </si>
  <si>
    <t>27x33</t>
  </si>
  <si>
    <t>30x38</t>
  </si>
  <si>
    <t>33x41</t>
  </si>
  <si>
    <t>37x44</t>
  </si>
  <si>
    <t>40x58</t>
  </si>
  <si>
    <t>(d+2)x(d+9)</t>
  </si>
  <si>
    <t>14x32</t>
  </si>
  <si>
    <t>17x40</t>
  </si>
  <si>
    <t>21x48</t>
  </si>
  <si>
    <t>24x56</t>
  </si>
  <si>
    <t>27x64</t>
  </si>
  <si>
    <t>30x71</t>
  </si>
  <si>
    <t>33x79</t>
  </si>
  <si>
    <t>37x87</t>
  </si>
  <si>
    <t>40x95</t>
  </si>
  <si>
    <t>(d+2)x(2.5xd)</t>
  </si>
  <si>
    <t>(d+1/16")x(2.5xd)</t>
  </si>
  <si>
    <t>Bolted Parts (ASTM A325 &amp; A490 BOLTS)</t>
  </si>
  <si>
    <t>Minimum Bolt Spacing</t>
  </si>
  <si>
    <r>
      <t xml:space="preserve">The distance between centers of standard, oversized, or slotted fasteners shall be not less than </t>
    </r>
    <r>
      <rPr>
        <b/>
        <sz val="10"/>
        <rFont val="Arial"/>
        <family val="2"/>
      </rPr>
      <t>2 2/3d</t>
    </r>
    <r>
      <rPr>
        <sz val="10"/>
        <rFont val="Arial"/>
      </rPr>
      <t xml:space="preserve"> where </t>
    </r>
    <r>
      <rPr>
        <b/>
        <sz val="10"/>
        <rFont val="Arial"/>
        <family val="2"/>
      </rPr>
      <t>"d"</t>
    </r>
    <r>
      <rPr>
        <sz val="10"/>
        <rFont val="Arial"/>
      </rPr>
      <t xml:space="preserve"> is the nominal</t>
    </r>
  </si>
  <si>
    <r>
      <t xml:space="preserve">diameter of the fastener, inches. </t>
    </r>
    <r>
      <rPr>
        <b/>
        <sz val="10"/>
        <color indexed="10"/>
        <rFont val="Arial"/>
        <family val="2"/>
      </rPr>
      <t>A distance of 3d is preferred.</t>
    </r>
  </si>
  <si>
    <t>(Center of Standard Hole to Edge of Connected Part)</t>
  </si>
  <si>
    <r>
      <t xml:space="preserve">Minimum Edge Distance Table </t>
    </r>
    <r>
      <rPr>
        <b/>
        <i/>
        <u/>
        <sz val="12"/>
        <color indexed="10"/>
        <rFont val="Arial"/>
        <family val="2"/>
      </rPr>
      <t>Inches</t>
    </r>
  </si>
  <si>
    <t>&gt;1-1/4"</t>
  </si>
  <si>
    <t>Edges</t>
  </si>
  <si>
    <t>@</t>
  </si>
  <si>
    <t>Sheared</t>
  </si>
  <si>
    <t>2"</t>
  </si>
  <si>
    <t>2-1/4"</t>
  </si>
  <si>
    <r>
      <t xml:space="preserve">1-3/4" </t>
    </r>
    <r>
      <rPr>
        <b/>
        <sz val="12"/>
        <color indexed="10"/>
        <rFont val="Arial"/>
        <family val="2"/>
      </rPr>
      <t>*</t>
    </r>
  </si>
  <si>
    <r>
      <t>1-1/2"</t>
    </r>
    <r>
      <rPr>
        <b/>
        <sz val="10"/>
        <color indexed="10"/>
        <rFont val="Arial"/>
        <family val="2"/>
      </rPr>
      <t xml:space="preserve"> </t>
    </r>
    <r>
      <rPr>
        <b/>
        <sz val="12"/>
        <color indexed="10"/>
        <rFont val="Arial"/>
        <family val="2"/>
      </rPr>
      <t>*</t>
    </r>
  </si>
  <si>
    <t xml:space="preserve">    '@' Rolled Edges of</t>
  </si>
  <si>
    <t xml:space="preserve">    Plates, Shapes or Bars</t>
  </si>
  <si>
    <t xml:space="preserve">    or Gas Cut Edges</t>
  </si>
  <si>
    <t>1-5/8"</t>
  </si>
  <si>
    <t xml:space="preserve">     These may be 1-1/4" @ the ends of beam connection angles</t>
  </si>
  <si>
    <t xml:space="preserve">Bolt Length </t>
  </si>
  <si>
    <r>
      <t xml:space="preserve">for manufacturing tolerances to provide for full thread engagement of heavy hex nut, when installed. </t>
    </r>
    <r>
      <rPr>
        <b/>
        <i/>
        <u/>
        <sz val="10"/>
        <color indexed="17"/>
        <rFont val="Arial"/>
        <family val="2"/>
      </rPr>
      <t>For each hardened flat washer that is used</t>
    </r>
  </si>
  <si>
    <t xml:space="preserve">      Specify thread length when using Double Nuts</t>
  </si>
  <si>
    <t xml:space="preserve">             Single Nut</t>
  </si>
  <si>
    <t>11/16"</t>
  </si>
  <si>
    <t>1-3/4"</t>
  </si>
  <si>
    <t>1-7/8"</t>
  </si>
  <si>
    <t xml:space="preserve">             Double Nut</t>
  </si>
  <si>
    <t>1-3/16"</t>
  </si>
  <si>
    <t>2-5/8"</t>
  </si>
  <si>
    <t>2-7/8"</t>
  </si>
  <si>
    <t>3-1/8"</t>
  </si>
  <si>
    <t>3-3/8"</t>
  </si>
  <si>
    <t>2-1/8"</t>
  </si>
  <si>
    <t>2-3/8"</t>
  </si>
  <si>
    <t>2-3/4"</t>
  </si>
  <si>
    <t>3-1/4"</t>
  </si>
  <si>
    <t>3-5/8"</t>
  </si>
  <si>
    <t>3-3/4"</t>
  </si>
  <si>
    <t>Thread</t>
  </si>
  <si>
    <r>
      <t xml:space="preserve">In order to determine the required bolt length, the value in the table below should be added to the </t>
    </r>
    <r>
      <rPr>
        <b/>
        <i/>
        <sz val="10"/>
        <color indexed="10"/>
        <rFont val="Arial"/>
        <family val="2"/>
      </rPr>
      <t>Grip</t>
    </r>
    <r>
      <rPr>
        <b/>
        <i/>
        <sz val="10"/>
        <color indexed="17"/>
        <rFont val="Arial"/>
        <family val="2"/>
      </rPr>
      <t xml:space="preserve"> </t>
    </r>
    <r>
      <rPr>
        <b/>
        <i/>
        <sz val="10"/>
        <rFont val="Arial"/>
        <family val="2"/>
      </rPr>
      <t>(I.e., the total thickness of all connected</t>
    </r>
  </si>
  <si>
    <r>
      <t>material, exclusive of washers)</t>
    </r>
    <r>
      <rPr>
        <b/>
        <i/>
        <sz val="10"/>
        <color indexed="17"/>
        <rFont val="Arial"/>
        <family val="2"/>
      </rPr>
      <t xml:space="preserve"> or enter the Grip in the Calculator above for single nut with washer. The values are generalized with due allowance</t>
    </r>
  </si>
  <si>
    <r>
      <t xml:space="preserve">Enter Grip </t>
    </r>
    <r>
      <rPr>
        <b/>
        <sz val="10"/>
        <color indexed="10"/>
        <rFont val="Arial"/>
        <family val="2"/>
      </rPr>
      <t>millimeters</t>
    </r>
  </si>
  <si>
    <r>
      <t xml:space="preserve">Enter Grip </t>
    </r>
    <r>
      <rPr>
        <b/>
        <sz val="10"/>
        <color indexed="10"/>
        <rFont val="Arial"/>
        <family val="2"/>
      </rPr>
      <t>Inches</t>
    </r>
  </si>
  <si>
    <t>Single Nut &amp; Single Washer Calculator</t>
  </si>
  <si>
    <r>
      <t xml:space="preserve">add </t>
    </r>
    <r>
      <rPr>
        <b/>
        <i/>
        <u/>
        <sz val="10"/>
        <color indexed="10"/>
        <rFont val="Arial"/>
        <family val="2"/>
      </rPr>
      <t>5/32-inch</t>
    </r>
    <r>
      <rPr>
        <b/>
        <i/>
        <u/>
        <sz val="10"/>
        <color indexed="17"/>
        <rFont val="Arial"/>
        <family val="2"/>
      </rPr>
      <t xml:space="preserve">, and for each bevel washer add </t>
    </r>
    <r>
      <rPr>
        <b/>
        <i/>
        <u/>
        <sz val="10"/>
        <color indexed="10"/>
        <rFont val="Arial"/>
        <family val="2"/>
      </rPr>
      <t>5/16-inch</t>
    </r>
    <r>
      <rPr>
        <b/>
        <i/>
        <u/>
        <sz val="10"/>
        <color indexed="17"/>
        <rFont val="Arial"/>
        <family val="2"/>
      </rPr>
      <t xml:space="preserve">. The length is determined by use of the table/calculator should be </t>
    </r>
    <r>
      <rPr>
        <b/>
        <i/>
        <u/>
        <sz val="10"/>
        <color indexed="10"/>
        <rFont val="Arial"/>
        <family val="2"/>
      </rPr>
      <t>adjusted to the</t>
    </r>
    <r>
      <rPr>
        <b/>
        <i/>
        <u/>
        <sz val="10"/>
        <color indexed="17"/>
        <rFont val="Arial"/>
        <family val="2"/>
      </rPr>
      <t xml:space="preserve"> </t>
    </r>
    <r>
      <rPr>
        <b/>
        <i/>
        <u/>
        <sz val="10"/>
        <color indexed="10"/>
        <rFont val="Arial"/>
        <family val="2"/>
      </rPr>
      <t>next 1/4-inch.</t>
    </r>
  </si>
  <si>
    <t>Bolt Size</t>
  </si>
  <si>
    <t>Width across</t>
  </si>
  <si>
    <t>Height</t>
  </si>
  <si>
    <r>
      <t xml:space="preserve">flats </t>
    </r>
    <r>
      <rPr>
        <b/>
        <sz val="10"/>
        <color indexed="12"/>
        <rFont val="Arial"/>
        <family val="2"/>
      </rPr>
      <t>F</t>
    </r>
  </si>
  <si>
    <t xml:space="preserve">                 Bolt Dimensions. Inches</t>
  </si>
  <si>
    <t xml:space="preserve">               Heavy Hex Structural Bolts</t>
  </si>
  <si>
    <t xml:space="preserve">      Heavy Hex Nuts</t>
  </si>
  <si>
    <r>
      <t xml:space="preserve">flats </t>
    </r>
    <r>
      <rPr>
        <b/>
        <sz val="10"/>
        <color indexed="12"/>
        <rFont val="Arial"/>
        <family val="2"/>
      </rPr>
      <t>W</t>
    </r>
  </si>
  <si>
    <t xml:space="preserve">  Nut Dimensions, Inches</t>
  </si>
  <si>
    <t>Diameter</t>
  </si>
  <si>
    <t>Min.</t>
  </si>
  <si>
    <t xml:space="preserve">                Thickness</t>
  </si>
  <si>
    <r>
      <t xml:space="preserve">of </t>
    </r>
    <r>
      <rPr>
        <b/>
        <sz val="10"/>
        <color indexed="12"/>
        <rFont val="Arial"/>
        <family val="2"/>
      </rPr>
      <t>Hole</t>
    </r>
  </si>
  <si>
    <r>
      <t xml:space="preserve">                             </t>
    </r>
    <r>
      <rPr>
        <b/>
        <sz val="12"/>
        <color indexed="12"/>
        <rFont val="Arial"/>
        <family val="2"/>
      </rPr>
      <t>Circular Washers</t>
    </r>
  </si>
  <si>
    <t>Mean</t>
  </si>
  <si>
    <t>Slope or</t>
  </si>
  <si>
    <t>Taper in</t>
  </si>
  <si>
    <t>3"</t>
  </si>
  <si>
    <t>Minimum</t>
  </si>
  <si>
    <t>Side</t>
  </si>
  <si>
    <t>Dimension</t>
  </si>
  <si>
    <t xml:space="preserve">         Sq. or Rect. Bevel Washers</t>
  </si>
  <si>
    <t>1:6'</t>
  </si>
  <si>
    <t xml:space="preserve">     A490 bolts and galvanized A325 bolts shall not be reused. Retightening previous tightening of adjacent bolts</t>
  </si>
  <si>
    <t>shall not be considered as reuse.</t>
  </si>
  <si>
    <r>
      <t xml:space="preserve">sub-punched and reamed, or drilled, as required by applicable code or specification. </t>
    </r>
    <r>
      <rPr>
        <b/>
        <i/>
        <sz val="10"/>
        <color indexed="10"/>
        <rFont val="Arial"/>
        <family val="2"/>
      </rPr>
      <t xml:space="preserve">Standard holes shall have a diameter </t>
    </r>
    <r>
      <rPr>
        <b/>
        <i/>
        <sz val="10"/>
        <color indexed="12"/>
        <rFont val="Arial"/>
        <family val="2"/>
      </rPr>
      <t>1/16"</t>
    </r>
    <r>
      <rPr>
        <b/>
        <i/>
        <sz val="10"/>
        <color indexed="10"/>
        <rFont val="Arial"/>
        <family val="2"/>
      </rPr>
      <t xml:space="preserve"> in excess of</t>
    </r>
  </si>
  <si>
    <t>Under</t>
  </si>
  <si>
    <t>Head</t>
  </si>
  <si>
    <t>Weight of ASTM A325 or A490 high strength bolts</t>
  </si>
  <si>
    <t>4"</t>
  </si>
  <si>
    <t>6"</t>
  </si>
  <si>
    <t>For Each</t>
  </si>
  <si>
    <t>100 F.W.</t>
  </si>
  <si>
    <t>Add</t>
  </si>
  <si>
    <t>Bevel</t>
  </si>
  <si>
    <t>Washers</t>
  </si>
  <si>
    <t>&gt;32</t>
  </si>
  <si>
    <t>1.75x Dia.</t>
  </si>
  <si>
    <t>1.25x Dia.</t>
  </si>
  <si>
    <t xml:space="preserve">     These may be 32 @ the ends of beam connection angles</t>
  </si>
  <si>
    <t xml:space="preserve">         Thread Length</t>
  </si>
  <si>
    <t xml:space="preserve">              Double</t>
  </si>
  <si>
    <t xml:space="preserve">                 Nut</t>
  </si>
  <si>
    <t xml:space="preserve">       To determine required Bolt</t>
  </si>
  <si>
    <t xml:space="preserve">            Length Add to Grip</t>
  </si>
  <si>
    <t xml:space="preserve">     To determine required Bolt</t>
  </si>
  <si>
    <t xml:space="preserve">          Length Add to Grip</t>
  </si>
  <si>
    <r>
      <t xml:space="preserve">Minimum Edge Distance Table </t>
    </r>
    <r>
      <rPr>
        <b/>
        <i/>
        <u/>
        <sz val="12"/>
        <color indexed="10"/>
        <rFont val="Arial"/>
        <family val="2"/>
      </rPr>
      <t>millimeters</t>
    </r>
  </si>
  <si>
    <t>Per inch</t>
  </si>
  <si>
    <t>additional</t>
  </si>
  <si>
    <r>
      <t xml:space="preserve">        Max. Holes Size (Nominal)</t>
    </r>
    <r>
      <rPr>
        <b/>
        <sz val="10"/>
        <color indexed="10"/>
        <rFont val="Arial"/>
        <family val="2"/>
      </rPr>
      <t xml:space="preserve"> Inches</t>
    </r>
  </si>
  <si>
    <r>
      <t xml:space="preserve">  Max. Holes Size (Nominal) </t>
    </r>
    <r>
      <rPr>
        <b/>
        <sz val="10"/>
        <color indexed="10"/>
        <rFont val="Arial"/>
        <family val="2"/>
      </rPr>
      <t>millimeters</t>
    </r>
  </si>
  <si>
    <t>Alowable</t>
  </si>
  <si>
    <t>Deflection</t>
  </si>
  <si>
    <t>8"</t>
  </si>
  <si>
    <t>10"</t>
  </si>
  <si>
    <t>12"</t>
  </si>
  <si>
    <t>14"</t>
  </si>
  <si>
    <t>16"</t>
  </si>
  <si>
    <t>18"</t>
  </si>
  <si>
    <t>20"</t>
  </si>
  <si>
    <t>24"</t>
  </si>
  <si>
    <t>Based on using carbon steel pipe (A53-GR B) filled with water</t>
  </si>
  <si>
    <t>Spans are based on insulated and uninsulated lines below 650 Deg. F</t>
  </si>
  <si>
    <t>Dish Radius</t>
  </si>
  <si>
    <t>Inside Depth</t>
  </si>
  <si>
    <t>Knuckle Radius</t>
  </si>
  <si>
    <t>Note</t>
  </si>
  <si>
    <t>All Dimensions</t>
  </si>
  <si>
    <t>I.D./4</t>
  </si>
  <si>
    <t>with vendor drawings</t>
  </si>
  <si>
    <t>Verify all dimension</t>
  </si>
  <si>
    <t>Approximate area for nozzle attachment</t>
  </si>
  <si>
    <t>Start of Knuckle Radius</t>
  </si>
  <si>
    <t>O.D</t>
  </si>
  <si>
    <t>"R1"</t>
  </si>
  <si>
    <t>"R2"</t>
  </si>
  <si>
    <t>IDD</t>
  </si>
  <si>
    <t>Not all wall thicknesses are shown. Interpolate</t>
  </si>
  <si>
    <t>for approximate inside depth O.D. dish IDD</t>
  </si>
  <si>
    <r>
      <t xml:space="preserve">are in </t>
    </r>
    <r>
      <rPr>
        <b/>
        <sz val="10"/>
        <color indexed="12"/>
        <rFont val="Arial"/>
        <family val="2"/>
      </rPr>
      <t>Inches</t>
    </r>
    <r>
      <rPr>
        <b/>
        <sz val="10"/>
        <color indexed="10"/>
        <rFont val="Arial"/>
        <family val="2"/>
      </rPr>
      <t xml:space="preserve"> (mm)</t>
    </r>
  </si>
  <si>
    <t>26"</t>
  </si>
  <si>
    <t>28"</t>
  </si>
  <si>
    <r>
      <t>"R1"</t>
    </r>
    <r>
      <rPr>
        <b/>
        <sz val="10"/>
        <color indexed="10"/>
        <rFont val="Arial"/>
        <family val="2"/>
      </rPr>
      <t>(mm)</t>
    </r>
  </si>
  <si>
    <r>
      <t>"R2"</t>
    </r>
    <r>
      <rPr>
        <b/>
        <sz val="10"/>
        <color indexed="10"/>
        <rFont val="Arial"/>
        <family val="2"/>
      </rPr>
      <t>(mm)</t>
    </r>
  </si>
  <si>
    <r>
      <t>IDD</t>
    </r>
    <r>
      <rPr>
        <b/>
        <sz val="10"/>
        <color indexed="10"/>
        <rFont val="Arial"/>
        <family val="2"/>
      </rPr>
      <t>(mm)</t>
    </r>
  </si>
  <si>
    <t>30"</t>
  </si>
  <si>
    <t>32"</t>
  </si>
  <si>
    <t>36"</t>
  </si>
  <si>
    <t>38"</t>
  </si>
  <si>
    <t>40"</t>
  </si>
  <si>
    <t>42"</t>
  </si>
  <si>
    <t>60"</t>
  </si>
  <si>
    <t>"T"</t>
  </si>
  <si>
    <r>
      <t xml:space="preserve">"T" </t>
    </r>
    <r>
      <rPr>
        <b/>
        <sz val="10"/>
        <color indexed="10"/>
        <rFont val="Arial"/>
        <family val="2"/>
      </rPr>
      <t>(mm)</t>
    </r>
  </si>
  <si>
    <t>54"</t>
  </si>
  <si>
    <t>66"</t>
  </si>
  <si>
    <t>72"</t>
  </si>
  <si>
    <t>78"</t>
  </si>
  <si>
    <t>84"</t>
  </si>
  <si>
    <t>90"</t>
  </si>
  <si>
    <t>96"</t>
  </si>
  <si>
    <r>
      <t xml:space="preserve">Millimeters </t>
    </r>
    <r>
      <rPr>
        <b/>
        <sz val="10"/>
        <rFont val="Arial"/>
        <family val="2"/>
      </rPr>
      <t>(Flanged &amp; Dished Head Table)</t>
    </r>
  </si>
  <si>
    <r>
      <t xml:space="preserve">Inches </t>
    </r>
    <r>
      <rPr>
        <b/>
        <sz val="10"/>
        <rFont val="Arial"/>
        <family val="2"/>
      </rPr>
      <t>(Flanged &amp; Dished Head Table)</t>
    </r>
  </si>
  <si>
    <t>102"</t>
  </si>
  <si>
    <t>108"</t>
  </si>
  <si>
    <t>120"</t>
  </si>
  <si>
    <t>114"</t>
  </si>
  <si>
    <t>126"</t>
  </si>
  <si>
    <t>132"</t>
  </si>
  <si>
    <t>138"</t>
  </si>
  <si>
    <t>144"</t>
  </si>
  <si>
    <t>156"</t>
  </si>
  <si>
    <t>168"</t>
  </si>
  <si>
    <t>192"</t>
  </si>
  <si>
    <t>204"</t>
  </si>
  <si>
    <t>216"</t>
  </si>
  <si>
    <t>228"</t>
  </si>
  <si>
    <t>240"</t>
  </si>
  <si>
    <r>
      <t xml:space="preserve">Millimeters </t>
    </r>
    <r>
      <rPr>
        <b/>
        <sz val="10"/>
        <rFont val="Arial"/>
        <family val="2"/>
      </rPr>
      <t>(Flanged &amp; Dished Head ASME Table)</t>
    </r>
  </si>
  <si>
    <r>
      <t xml:space="preserve">Inches </t>
    </r>
    <r>
      <rPr>
        <b/>
        <sz val="10"/>
        <rFont val="Arial"/>
        <family val="2"/>
      </rPr>
      <t>(Flanged &amp; Dished Head ASME Table)</t>
    </r>
  </si>
  <si>
    <t>ASME</t>
  </si>
  <si>
    <t>210"</t>
  </si>
  <si>
    <r>
      <t xml:space="preserve">Ft- In </t>
    </r>
    <r>
      <rPr>
        <b/>
        <sz val="10"/>
        <color indexed="10"/>
        <rFont val="Arial"/>
        <family val="2"/>
      </rPr>
      <t>(mm)</t>
    </r>
  </si>
  <si>
    <r>
      <t xml:space="preserve">10'-0" </t>
    </r>
    <r>
      <rPr>
        <b/>
        <sz val="10"/>
        <color indexed="10"/>
        <rFont val="Arial"/>
        <family val="2"/>
      </rPr>
      <t>(3048)</t>
    </r>
  </si>
  <si>
    <r>
      <t xml:space="preserve">Inches </t>
    </r>
    <r>
      <rPr>
        <b/>
        <sz val="10"/>
        <color indexed="10"/>
        <rFont val="Arial"/>
        <family val="2"/>
      </rPr>
      <t>(mm)</t>
    </r>
  </si>
  <si>
    <r>
      <t xml:space="preserve">3/8" </t>
    </r>
    <r>
      <rPr>
        <b/>
        <sz val="10"/>
        <color indexed="10"/>
        <rFont val="Arial"/>
        <family val="2"/>
      </rPr>
      <t>(10)</t>
    </r>
  </si>
  <si>
    <r>
      <t xml:space="preserve">55'-0" </t>
    </r>
    <r>
      <rPr>
        <b/>
        <sz val="10"/>
        <color indexed="10"/>
        <rFont val="Arial"/>
        <family val="2"/>
      </rPr>
      <t>(16764)</t>
    </r>
  </si>
  <si>
    <r>
      <t xml:space="preserve">1/2" </t>
    </r>
    <r>
      <rPr>
        <b/>
        <sz val="10"/>
        <color indexed="10"/>
        <rFont val="Arial"/>
        <family val="2"/>
      </rPr>
      <t>(13)</t>
    </r>
  </si>
  <si>
    <r>
      <t xml:space="preserve">3/4" </t>
    </r>
    <r>
      <rPr>
        <b/>
        <sz val="10"/>
        <color indexed="10"/>
        <rFont val="Arial"/>
        <family val="2"/>
      </rPr>
      <t>(19)</t>
    </r>
  </si>
  <si>
    <r>
      <t xml:space="preserve">1" </t>
    </r>
    <r>
      <rPr>
        <b/>
        <sz val="10"/>
        <color indexed="10"/>
        <rFont val="Arial"/>
        <family val="2"/>
      </rPr>
      <t>(25)</t>
    </r>
  </si>
  <si>
    <r>
      <t xml:space="preserve">13'-0" </t>
    </r>
    <r>
      <rPr>
        <b/>
        <sz val="10"/>
        <color indexed="10"/>
        <rFont val="Arial"/>
        <family val="2"/>
      </rPr>
      <t>(3962)</t>
    </r>
  </si>
  <si>
    <r>
      <t xml:space="preserve">17'-0" </t>
    </r>
    <r>
      <rPr>
        <b/>
        <sz val="10"/>
        <color indexed="10"/>
        <rFont val="Arial"/>
        <family val="2"/>
      </rPr>
      <t>(5182)</t>
    </r>
  </si>
  <si>
    <r>
      <t xml:space="preserve">19'-0" </t>
    </r>
    <r>
      <rPr>
        <b/>
        <sz val="10"/>
        <color indexed="10"/>
        <rFont val="Arial"/>
        <family val="2"/>
      </rPr>
      <t>(5791)</t>
    </r>
  </si>
  <si>
    <r>
      <t xml:space="preserve">7'-0" </t>
    </r>
    <r>
      <rPr>
        <b/>
        <sz val="10"/>
        <color indexed="10"/>
        <rFont val="Arial"/>
        <family val="2"/>
      </rPr>
      <t>(2134)</t>
    </r>
  </si>
  <si>
    <r>
      <t xml:space="preserve">8'-0" </t>
    </r>
    <r>
      <rPr>
        <b/>
        <sz val="10"/>
        <color indexed="10"/>
        <rFont val="Arial"/>
        <family val="2"/>
      </rPr>
      <t>(2438)</t>
    </r>
  </si>
  <si>
    <r>
      <t xml:space="preserve">9'-0" </t>
    </r>
    <r>
      <rPr>
        <b/>
        <sz val="10"/>
        <color indexed="10"/>
        <rFont val="Arial"/>
        <family val="2"/>
      </rPr>
      <t>(2743)</t>
    </r>
  </si>
  <si>
    <r>
      <t xml:space="preserve">11'-0" </t>
    </r>
    <r>
      <rPr>
        <b/>
        <sz val="10"/>
        <color indexed="10"/>
        <rFont val="Arial"/>
        <family val="2"/>
      </rPr>
      <t>(3353)</t>
    </r>
  </si>
  <si>
    <r>
      <t xml:space="preserve">12'-0" </t>
    </r>
    <r>
      <rPr>
        <b/>
        <sz val="10"/>
        <color indexed="10"/>
        <rFont val="Arial"/>
        <family val="2"/>
      </rPr>
      <t>(3658)</t>
    </r>
  </si>
  <si>
    <r>
      <t xml:space="preserve">14'-0" </t>
    </r>
    <r>
      <rPr>
        <b/>
        <sz val="10"/>
        <color indexed="10"/>
        <rFont val="Arial"/>
        <family val="2"/>
      </rPr>
      <t>(4267)</t>
    </r>
  </si>
  <si>
    <r>
      <t xml:space="preserve">20'-0" </t>
    </r>
    <r>
      <rPr>
        <b/>
        <sz val="10"/>
        <color indexed="10"/>
        <rFont val="Arial"/>
        <family val="2"/>
      </rPr>
      <t>(6096)</t>
    </r>
  </si>
  <si>
    <r>
      <t xml:space="preserve">15'-0" </t>
    </r>
    <r>
      <rPr>
        <b/>
        <sz val="10"/>
        <color indexed="10"/>
        <rFont val="Arial"/>
        <family val="2"/>
      </rPr>
      <t>(4572)</t>
    </r>
  </si>
  <si>
    <r>
      <t xml:space="preserve">25'-0" </t>
    </r>
    <r>
      <rPr>
        <b/>
        <sz val="10"/>
        <color indexed="10"/>
        <rFont val="Arial"/>
        <family val="2"/>
      </rPr>
      <t>(7620)</t>
    </r>
  </si>
  <si>
    <r>
      <t xml:space="preserve">16'-0" </t>
    </r>
    <r>
      <rPr>
        <b/>
        <sz val="10"/>
        <color indexed="10"/>
        <rFont val="Arial"/>
        <family val="2"/>
      </rPr>
      <t>(4877)</t>
    </r>
  </si>
  <si>
    <r>
      <t xml:space="preserve">18'-0" </t>
    </r>
    <r>
      <rPr>
        <b/>
        <sz val="10"/>
        <color indexed="10"/>
        <rFont val="Arial"/>
        <family val="2"/>
      </rPr>
      <t>(5486)</t>
    </r>
  </si>
  <si>
    <r>
      <t xml:space="preserve">27'-0" </t>
    </r>
    <r>
      <rPr>
        <b/>
        <sz val="10"/>
        <color indexed="10"/>
        <rFont val="Arial"/>
        <family val="2"/>
      </rPr>
      <t>(8230)</t>
    </r>
  </si>
  <si>
    <r>
      <t xml:space="preserve">33'-0" </t>
    </r>
    <r>
      <rPr>
        <b/>
        <sz val="10"/>
        <color indexed="10"/>
        <rFont val="Arial"/>
        <family val="2"/>
      </rPr>
      <t>(10058)</t>
    </r>
  </si>
  <si>
    <r>
      <t xml:space="preserve">22'-0" </t>
    </r>
    <r>
      <rPr>
        <b/>
        <sz val="10"/>
        <color indexed="10"/>
        <rFont val="Arial"/>
        <family val="2"/>
      </rPr>
      <t>(6706)</t>
    </r>
  </si>
  <si>
    <r>
      <t xml:space="preserve">36'-0" </t>
    </r>
    <r>
      <rPr>
        <b/>
        <sz val="10"/>
        <color indexed="10"/>
        <rFont val="Arial"/>
        <family val="2"/>
      </rPr>
      <t>(10973)</t>
    </r>
  </si>
  <si>
    <r>
      <t xml:space="preserve">24'-0" </t>
    </r>
    <r>
      <rPr>
        <b/>
        <sz val="10"/>
        <color indexed="10"/>
        <rFont val="Arial"/>
        <family val="2"/>
      </rPr>
      <t>(7315)</t>
    </r>
  </si>
  <si>
    <r>
      <t xml:space="preserve">38'-0" </t>
    </r>
    <r>
      <rPr>
        <b/>
        <sz val="10"/>
        <color indexed="10"/>
        <rFont val="Arial"/>
        <family val="2"/>
      </rPr>
      <t>(11582)</t>
    </r>
  </si>
  <si>
    <r>
      <t xml:space="preserve">29'-0" </t>
    </r>
    <r>
      <rPr>
        <b/>
        <sz val="10"/>
        <color indexed="10"/>
        <rFont val="Arial"/>
        <family val="2"/>
      </rPr>
      <t>(8839)</t>
    </r>
  </si>
  <si>
    <r>
      <t xml:space="preserve">41'-0" </t>
    </r>
    <r>
      <rPr>
        <b/>
        <sz val="10"/>
        <color indexed="10"/>
        <rFont val="Arial"/>
        <family val="2"/>
      </rPr>
      <t>(12497)</t>
    </r>
  </si>
  <si>
    <r>
      <t xml:space="preserve">31'-0" </t>
    </r>
    <r>
      <rPr>
        <b/>
        <sz val="10"/>
        <color indexed="10"/>
        <rFont val="Arial"/>
        <family val="2"/>
      </rPr>
      <t>(9449)</t>
    </r>
  </si>
  <si>
    <r>
      <t xml:space="preserve">40'-0" </t>
    </r>
    <r>
      <rPr>
        <b/>
        <sz val="10"/>
        <color indexed="10"/>
        <rFont val="Arial"/>
        <family val="2"/>
      </rPr>
      <t>(12192)</t>
    </r>
  </si>
  <si>
    <r>
      <t xml:space="preserve">26'-0" </t>
    </r>
    <r>
      <rPr>
        <b/>
        <sz val="10"/>
        <color indexed="10"/>
        <rFont val="Arial"/>
        <family val="2"/>
      </rPr>
      <t>(7925)</t>
    </r>
  </si>
  <si>
    <r>
      <t xml:space="preserve">30'-0" </t>
    </r>
    <r>
      <rPr>
        <b/>
        <sz val="10"/>
        <color indexed="10"/>
        <rFont val="Arial"/>
        <family val="2"/>
      </rPr>
      <t>(9144)</t>
    </r>
  </si>
  <si>
    <r>
      <t xml:space="preserve">44'-0" </t>
    </r>
    <r>
      <rPr>
        <b/>
        <sz val="10"/>
        <color indexed="10"/>
        <rFont val="Arial"/>
        <family val="2"/>
      </rPr>
      <t>(13411)</t>
    </r>
  </si>
  <si>
    <r>
      <t xml:space="preserve">42'-0" </t>
    </r>
    <r>
      <rPr>
        <b/>
        <sz val="10"/>
        <color indexed="10"/>
        <rFont val="Arial"/>
        <family val="2"/>
      </rPr>
      <t>(12802)</t>
    </r>
  </si>
  <si>
    <r>
      <t xml:space="preserve">46'-0" </t>
    </r>
    <r>
      <rPr>
        <b/>
        <sz val="10"/>
        <color indexed="10"/>
        <rFont val="Arial"/>
        <family val="2"/>
      </rPr>
      <t>(14021)</t>
    </r>
  </si>
  <si>
    <r>
      <t xml:space="preserve">34'-0" </t>
    </r>
    <r>
      <rPr>
        <b/>
        <sz val="10"/>
        <color indexed="10"/>
        <rFont val="Arial"/>
        <family val="2"/>
      </rPr>
      <t>(10363)</t>
    </r>
  </si>
  <si>
    <r>
      <t xml:space="preserve">28'-0" </t>
    </r>
    <r>
      <rPr>
        <b/>
        <sz val="10"/>
        <color indexed="10"/>
        <rFont val="Arial"/>
        <family val="2"/>
      </rPr>
      <t>(8534)</t>
    </r>
  </si>
  <si>
    <r>
      <t xml:space="preserve">48'-0" </t>
    </r>
    <r>
      <rPr>
        <b/>
        <sz val="10"/>
        <color indexed="10"/>
        <rFont val="Arial"/>
        <family val="2"/>
      </rPr>
      <t>(14630)</t>
    </r>
  </si>
  <si>
    <r>
      <t xml:space="preserve">45'-0" </t>
    </r>
    <r>
      <rPr>
        <b/>
        <sz val="10"/>
        <color indexed="10"/>
        <rFont val="Arial"/>
        <family val="2"/>
      </rPr>
      <t>(13716)</t>
    </r>
  </si>
  <si>
    <r>
      <t xml:space="preserve">50'-0" </t>
    </r>
    <r>
      <rPr>
        <b/>
        <sz val="10"/>
        <color indexed="10"/>
        <rFont val="Arial"/>
        <family val="2"/>
      </rPr>
      <t>(15240)</t>
    </r>
  </si>
  <si>
    <r>
      <t xml:space="preserve">47'-0" </t>
    </r>
    <r>
      <rPr>
        <b/>
        <sz val="10"/>
        <color indexed="10"/>
        <rFont val="Arial"/>
        <family val="2"/>
      </rPr>
      <t>(14326)</t>
    </r>
  </si>
  <si>
    <r>
      <t xml:space="preserve">52'-0" </t>
    </r>
    <r>
      <rPr>
        <b/>
        <sz val="10"/>
        <color indexed="10"/>
        <rFont val="Arial"/>
        <family val="2"/>
      </rPr>
      <t>(15850)</t>
    </r>
  </si>
  <si>
    <r>
      <t xml:space="preserve">39'-0" </t>
    </r>
    <r>
      <rPr>
        <b/>
        <sz val="10"/>
        <color indexed="10"/>
        <rFont val="Arial"/>
        <family val="2"/>
      </rPr>
      <t>(11887)</t>
    </r>
  </si>
  <si>
    <r>
      <t xml:space="preserve">49'-0" </t>
    </r>
    <r>
      <rPr>
        <b/>
        <sz val="10"/>
        <color indexed="10"/>
        <rFont val="Arial"/>
        <family val="2"/>
      </rPr>
      <t>(14935)</t>
    </r>
  </si>
  <si>
    <r>
      <t xml:space="preserve">32'-0" </t>
    </r>
    <r>
      <rPr>
        <b/>
        <sz val="10"/>
        <color indexed="10"/>
        <rFont val="Arial"/>
        <family val="2"/>
      </rPr>
      <t>(9754)</t>
    </r>
  </si>
  <si>
    <r>
      <t xml:space="preserve">37'-0" </t>
    </r>
    <r>
      <rPr>
        <b/>
        <sz val="10"/>
        <color indexed="10"/>
        <rFont val="Arial"/>
        <family val="2"/>
      </rPr>
      <t>(11278)</t>
    </r>
  </si>
  <si>
    <r>
      <t xml:space="preserve">1-1/8" </t>
    </r>
    <r>
      <rPr>
        <b/>
        <sz val="10"/>
        <color indexed="10"/>
        <rFont val="Arial"/>
        <family val="2"/>
      </rPr>
      <t>(29)</t>
    </r>
  </si>
  <si>
    <r>
      <t xml:space="preserve">1-3/8" </t>
    </r>
    <r>
      <rPr>
        <b/>
        <sz val="10"/>
        <color indexed="10"/>
        <rFont val="Arial"/>
        <family val="2"/>
      </rPr>
      <t>(35)</t>
    </r>
  </si>
  <si>
    <r>
      <t xml:space="preserve">1-5/8" </t>
    </r>
    <r>
      <rPr>
        <b/>
        <sz val="10"/>
        <color indexed="10"/>
        <rFont val="Arial"/>
        <family val="2"/>
      </rPr>
      <t>(41)</t>
    </r>
  </si>
  <si>
    <r>
      <t xml:space="preserve">1-7/8" </t>
    </r>
    <r>
      <rPr>
        <b/>
        <sz val="10"/>
        <color indexed="10"/>
        <rFont val="Arial"/>
        <family val="2"/>
      </rPr>
      <t>(48)</t>
    </r>
  </si>
  <si>
    <r>
      <t xml:space="preserve">2-1/8" </t>
    </r>
    <r>
      <rPr>
        <b/>
        <sz val="10"/>
        <color indexed="10"/>
        <rFont val="Arial"/>
        <family val="2"/>
      </rPr>
      <t>(54)</t>
    </r>
  </si>
  <si>
    <r>
      <t xml:space="preserve">2-3/8" </t>
    </r>
    <r>
      <rPr>
        <b/>
        <sz val="10"/>
        <color indexed="10"/>
        <rFont val="Arial"/>
        <family val="2"/>
      </rPr>
      <t>(60)</t>
    </r>
  </si>
  <si>
    <r>
      <t xml:space="preserve">2-5/8" </t>
    </r>
    <r>
      <rPr>
        <b/>
        <sz val="10"/>
        <color indexed="10"/>
        <rFont val="Arial"/>
        <family val="2"/>
      </rPr>
      <t>(67)</t>
    </r>
  </si>
  <si>
    <r>
      <t xml:space="preserve">2-7/8" </t>
    </r>
    <r>
      <rPr>
        <b/>
        <sz val="10"/>
        <color indexed="10"/>
        <rFont val="Arial"/>
        <family val="2"/>
      </rPr>
      <t>(73)</t>
    </r>
  </si>
  <si>
    <r>
      <t xml:space="preserve">3-1/8" </t>
    </r>
    <r>
      <rPr>
        <b/>
        <sz val="10"/>
        <color indexed="10"/>
        <rFont val="Arial"/>
        <family val="2"/>
      </rPr>
      <t>(79)</t>
    </r>
  </si>
  <si>
    <r>
      <t xml:space="preserve">3-3/8" </t>
    </r>
    <r>
      <rPr>
        <b/>
        <sz val="10"/>
        <color indexed="10"/>
        <rFont val="Arial"/>
        <family val="2"/>
      </rPr>
      <t>(86)</t>
    </r>
  </si>
  <si>
    <r>
      <t xml:space="preserve">7/8" </t>
    </r>
    <r>
      <rPr>
        <b/>
        <sz val="10"/>
        <color indexed="10"/>
        <rFont val="Arial"/>
        <family val="2"/>
      </rPr>
      <t>(22)</t>
    </r>
  </si>
  <si>
    <r>
      <t xml:space="preserve">1-1/4" </t>
    </r>
    <r>
      <rPr>
        <b/>
        <sz val="10"/>
        <color indexed="10"/>
        <rFont val="Arial"/>
        <family val="2"/>
      </rPr>
      <t>(32)</t>
    </r>
  </si>
  <si>
    <r>
      <t xml:space="preserve">1-1/2" </t>
    </r>
    <r>
      <rPr>
        <b/>
        <sz val="10"/>
        <color indexed="10"/>
        <rFont val="Arial"/>
        <family val="2"/>
      </rPr>
      <t>(38)</t>
    </r>
  </si>
  <si>
    <r>
      <t xml:space="preserve">1-3/4" </t>
    </r>
    <r>
      <rPr>
        <b/>
        <sz val="10"/>
        <color indexed="10"/>
        <rFont val="Arial"/>
        <family val="2"/>
      </rPr>
      <t>(44)</t>
    </r>
  </si>
  <si>
    <r>
      <t xml:space="preserve">5/8" </t>
    </r>
    <r>
      <rPr>
        <b/>
        <sz val="10"/>
        <color indexed="10"/>
        <rFont val="Arial"/>
        <family val="2"/>
      </rPr>
      <t>(16)</t>
    </r>
  </si>
  <si>
    <r>
      <t xml:space="preserve">3" </t>
    </r>
    <r>
      <rPr>
        <b/>
        <sz val="10"/>
        <color indexed="10"/>
        <rFont val="Arial"/>
        <family val="2"/>
      </rPr>
      <t>(76)</t>
    </r>
  </si>
  <si>
    <r>
      <t xml:space="preserve">3-1/4" </t>
    </r>
    <r>
      <rPr>
        <b/>
        <sz val="10"/>
        <color indexed="10"/>
        <rFont val="Arial"/>
        <family val="2"/>
      </rPr>
      <t>(83)</t>
    </r>
  </si>
  <si>
    <r>
      <t xml:space="preserve">3-7/8" </t>
    </r>
    <r>
      <rPr>
        <b/>
        <sz val="10"/>
        <color indexed="10"/>
        <rFont val="Arial"/>
        <family val="2"/>
      </rPr>
      <t>(98)</t>
    </r>
  </si>
  <si>
    <r>
      <t xml:space="preserve">4-3/8" </t>
    </r>
    <r>
      <rPr>
        <b/>
        <sz val="10"/>
        <color indexed="10"/>
        <rFont val="Arial"/>
        <family val="2"/>
      </rPr>
      <t>(111)</t>
    </r>
  </si>
  <si>
    <r>
      <t xml:space="preserve">4-7/8" </t>
    </r>
    <r>
      <rPr>
        <b/>
        <sz val="10"/>
        <color indexed="10"/>
        <rFont val="Arial"/>
        <family val="2"/>
      </rPr>
      <t>(124)</t>
    </r>
  </si>
  <si>
    <r>
      <t>1-5/8"</t>
    </r>
    <r>
      <rPr>
        <b/>
        <sz val="10"/>
        <color indexed="10"/>
        <rFont val="Arial"/>
        <family val="2"/>
      </rPr>
      <t xml:space="preserve"> (41)</t>
    </r>
  </si>
  <si>
    <r>
      <t xml:space="preserve">2-1/4" </t>
    </r>
    <r>
      <rPr>
        <b/>
        <sz val="10"/>
        <color indexed="10"/>
        <rFont val="Arial"/>
        <family val="2"/>
      </rPr>
      <t>(57)</t>
    </r>
  </si>
  <si>
    <r>
      <t xml:space="preserve">2-1/2" </t>
    </r>
    <r>
      <rPr>
        <b/>
        <sz val="10"/>
        <color indexed="10"/>
        <rFont val="Arial"/>
        <family val="2"/>
      </rPr>
      <t>(64)</t>
    </r>
  </si>
  <si>
    <r>
      <t xml:space="preserve">2-3/4" </t>
    </r>
    <r>
      <rPr>
        <b/>
        <sz val="10"/>
        <color indexed="10"/>
        <rFont val="Arial"/>
        <family val="2"/>
      </rPr>
      <t>(70)</t>
    </r>
  </si>
  <si>
    <r>
      <t xml:space="preserve">2" </t>
    </r>
    <r>
      <rPr>
        <b/>
        <sz val="10"/>
        <color indexed="10"/>
        <rFont val="Arial"/>
        <family val="2"/>
      </rPr>
      <t>(51)</t>
    </r>
  </si>
  <si>
    <r>
      <t xml:space="preserve">1-1/16" </t>
    </r>
    <r>
      <rPr>
        <b/>
        <sz val="10"/>
        <color indexed="10"/>
        <rFont val="Arial"/>
        <family val="2"/>
      </rPr>
      <t>(27)</t>
    </r>
  </si>
  <si>
    <r>
      <t xml:space="preserve">1-7/16" </t>
    </r>
    <r>
      <rPr>
        <b/>
        <sz val="10"/>
        <color indexed="10"/>
        <rFont val="Arial"/>
        <family val="2"/>
      </rPr>
      <t>(37)</t>
    </r>
  </si>
  <si>
    <r>
      <t xml:space="preserve">1-13/16" </t>
    </r>
    <r>
      <rPr>
        <b/>
        <sz val="10"/>
        <color indexed="10"/>
        <rFont val="Arial"/>
        <family val="2"/>
      </rPr>
      <t>(46)</t>
    </r>
  </si>
  <si>
    <r>
      <t xml:space="preserve">2-3/16" </t>
    </r>
    <r>
      <rPr>
        <b/>
        <sz val="10"/>
        <color indexed="10"/>
        <rFont val="Arial"/>
        <family val="2"/>
      </rPr>
      <t>(56)</t>
    </r>
  </si>
  <si>
    <r>
      <t xml:space="preserve">5/16" </t>
    </r>
    <r>
      <rPr>
        <b/>
        <sz val="10"/>
        <color indexed="10"/>
        <rFont val="Arial"/>
        <family val="2"/>
      </rPr>
      <t>(8)</t>
    </r>
  </si>
  <si>
    <r>
      <t xml:space="preserve">25/64" </t>
    </r>
    <r>
      <rPr>
        <b/>
        <sz val="10"/>
        <color indexed="10"/>
        <rFont val="Arial"/>
        <family val="2"/>
      </rPr>
      <t>(10)</t>
    </r>
  </si>
  <si>
    <r>
      <t xml:space="preserve">15/32" </t>
    </r>
    <r>
      <rPr>
        <b/>
        <sz val="10"/>
        <color indexed="10"/>
        <rFont val="Arial"/>
        <family val="2"/>
      </rPr>
      <t>(12)</t>
    </r>
  </si>
  <si>
    <r>
      <t xml:space="preserve">35/64" </t>
    </r>
    <r>
      <rPr>
        <b/>
        <sz val="10"/>
        <color indexed="10"/>
        <rFont val="Arial"/>
        <family val="2"/>
      </rPr>
      <t>(14)</t>
    </r>
  </si>
  <si>
    <r>
      <t xml:space="preserve">39/64" </t>
    </r>
    <r>
      <rPr>
        <b/>
        <sz val="10"/>
        <color indexed="10"/>
        <rFont val="Arial"/>
        <family val="2"/>
      </rPr>
      <t>(15)</t>
    </r>
  </si>
  <si>
    <r>
      <t xml:space="preserve">11/16" </t>
    </r>
    <r>
      <rPr>
        <b/>
        <sz val="10"/>
        <color indexed="10"/>
        <rFont val="Arial"/>
        <family val="2"/>
      </rPr>
      <t>(17)</t>
    </r>
  </si>
  <si>
    <r>
      <t xml:space="preserve">25/32" </t>
    </r>
    <r>
      <rPr>
        <b/>
        <sz val="10"/>
        <color indexed="10"/>
        <rFont val="Arial"/>
        <family val="2"/>
      </rPr>
      <t>(20)</t>
    </r>
  </si>
  <si>
    <r>
      <t xml:space="preserve">27/32" </t>
    </r>
    <r>
      <rPr>
        <b/>
        <sz val="10"/>
        <color indexed="10"/>
        <rFont val="Arial"/>
        <family val="2"/>
      </rPr>
      <t>(21)</t>
    </r>
  </si>
  <si>
    <r>
      <t xml:space="preserve">15/16" </t>
    </r>
    <r>
      <rPr>
        <b/>
        <sz val="10"/>
        <color indexed="10"/>
        <rFont val="Arial"/>
        <family val="2"/>
      </rPr>
      <t>(24)</t>
    </r>
  </si>
  <si>
    <r>
      <t xml:space="preserve">31/64" </t>
    </r>
    <r>
      <rPr>
        <b/>
        <sz val="10"/>
        <color indexed="10"/>
        <rFont val="Arial"/>
        <family val="2"/>
      </rPr>
      <t>(12)</t>
    </r>
  </si>
  <si>
    <r>
      <t xml:space="preserve">47/64" </t>
    </r>
    <r>
      <rPr>
        <b/>
        <sz val="10"/>
        <color indexed="10"/>
        <rFont val="Arial"/>
        <family val="2"/>
      </rPr>
      <t>(19)</t>
    </r>
  </si>
  <si>
    <r>
      <t xml:space="preserve">55/64" </t>
    </r>
    <r>
      <rPr>
        <b/>
        <sz val="10"/>
        <color indexed="10"/>
        <rFont val="Arial"/>
        <family val="2"/>
      </rPr>
      <t>(22)</t>
    </r>
  </si>
  <si>
    <r>
      <t xml:space="preserve">63/64" </t>
    </r>
    <r>
      <rPr>
        <b/>
        <sz val="10"/>
        <color indexed="10"/>
        <rFont val="Arial"/>
        <family val="2"/>
      </rPr>
      <t>(25)</t>
    </r>
  </si>
  <si>
    <r>
      <t xml:space="preserve">1-7/64" </t>
    </r>
    <r>
      <rPr>
        <b/>
        <sz val="10"/>
        <color indexed="10"/>
        <rFont val="Arial"/>
        <family val="2"/>
      </rPr>
      <t>(37)</t>
    </r>
  </si>
  <si>
    <r>
      <t xml:space="preserve">1-7/32" </t>
    </r>
    <r>
      <rPr>
        <b/>
        <sz val="10"/>
        <color indexed="10"/>
        <rFont val="Arial"/>
        <family val="2"/>
      </rPr>
      <t>(31)</t>
    </r>
  </si>
  <si>
    <r>
      <t xml:space="preserve">1-11/32" </t>
    </r>
    <r>
      <rPr>
        <b/>
        <sz val="10"/>
        <color indexed="10"/>
        <rFont val="Arial"/>
        <family val="2"/>
      </rPr>
      <t>(34)</t>
    </r>
  </si>
  <si>
    <r>
      <t xml:space="preserve">1-15/32" </t>
    </r>
    <r>
      <rPr>
        <b/>
        <sz val="10"/>
        <color indexed="10"/>
        <rFont val="Arial"/>
        <family val="2"/>
      </rPr>
      <t>(37)</t>
    </r>
  </si>
  <si>
    <r>
      <t xml:space="preserve">1/4" </t>
    </r>
    <r>
      <rPr>
        <b/>
        <sz val="10"/>
        <color indexed="10"/>
        <rFont val="Arial"/>
        <family val="2"/>
      </rPr>
      <t>(6)</t>
    </r>
  </si>
  <si>
    <r>
      <t xml:space="preserve">Inches </t>
    </r>
    <r>
      <rPr>
        <b/>
        <sz val="8"/>
        <color indexed="10"/>
        <rFont val="Arial"/>
        <family val="2"/>
      </rPr>
      <t>(mm)</t>
    </r>
  </si>
  <si>
    <r>
      <t xml:space="preserve">1-5/16" </t>
    </r>
    <r>
      <rPr>
        <b/>
        <sz val="10"/>
        <color indexed="10"/>
        <rFont val="Arial"/>
        <family val="2"/>
      </rPr>
      <t>(33)</t>
    </r>
  </si>
  <si>
    <r>
      <t xml:space="preserve">17/32" </t>
    </r>
    <r>
      <rPr>
        <b/>
        <sz val="10"/>
        <color indexed="10"/>
        <rFont val="Arial"/>
        <family val="2"/>
      </rPr>
      <t>(13)</t>
    </r>
  </si>
  <si>
    <r>
      <t xml:space="preserve">13/16" </t>
    </r>
    <r>
      <rPr>
        <b/>
        <sz val="10"/>
        <color indexed="10"/>
        <rFont val="Arial"/>
        <family val="2"/>
      </rPr>
      <t>(21)</t>
    </r>
  </si>
  <si>
    <r>
      <t xml:space="preserve">0.097 </t>
    </r>
    <r>
      <rPr>
        <b/>
        <sz val="10"/>
        <color indexed="10"/>
        <rFont val="Arial"/>
        <family val="2"/>
      </rPr>
      <t>(2)</t>
    </r>
  </si>
  <si>
    <r>
      <t xml:space="preserve">0.177 </t>
    </r>
    <r>
      <rPr>
        <b/>
        <sz val="10"/>
        <color indexed="10"/>
        <rFont val="Arial"/>
        <family val="2"/>
      </rPr>
      <t>(4)</t>
    </r>
  </si>
  <si>
    <r>
      <t xml:space="preserve">0.122 </t>
    </r>
    <r>
      <rPr>
        <b/>
        <sz val="10"/>
        <color indexed="10"/>
        <rFont val="Arial"/>
        <family val="2"/>
      </rPr>
      <t>(3)</t>
    </r>
  </si>
  <si>
    <r>
      <t xml:space="preserve">0.136 </t>
    </r>
    <r>
      <rPr>
        <b/>
        <sz val="10"/>
        <color indexed="10"/>
        <rFont val="Arial"/>
        <family val="2"/>
      </rPr>
      <t>(3)</t>
    </r>
  </si>
  <si>
    <r>
      <t xml:space="preserve">Heavy Hex Structural Bolts with Hex Nut in Pounds </t>
    </r>
    <r>
      <rPr>
        <b/>
        <sz val="12"/>
        <color indexed="10"/>
        <rFont val="Arial"/>
        <family val="2"/>
      </rPr>
      <t>(Kg)</t>
    </r>
    <r>
      <rPr>
        <b/>
        <sz val="12"/>
        <rFont val="Arial"/>
        <family val="2"/>
      </rPr>
      <t xml:space="preserve"> per 100</t>
    </r>
  </si>
  <si>
    <r>
      <t xml:space="preserve">3-1/2" </t>
    </r>
    <r>
      <rPr>
        <b/>
        <sz val="10"/>
        <color indexed="10"/>
        <rFont val="Arial"/>
        <family val="2"/>
      </rPr>
      <t>(89)</t>
    </r>
  </si>
  <si>
    <r>
      <t xml:space="preserve">3-3/4" </t>
    </r>
    <r>
      <rPr>
        <b/>
        <sz val="10"/>
        <color indexed="10"/>
        <rFont val="Arial"/>
        <family val="2"/>
      </rPr>
      <t>(95)</t>
    </r>
  </si>
  <si>
    <r>
      <t xml:space="preserve">4" </t>
    </r>
    <r>
      <rPr>
        <b/>
        <sz val="10"/>
        <color indexed="10"/>
        <rFont val="Arial"/>
        <family val="2"/>
      </rPr>
      <t>(102)</t>
    </r>
  </si>
  <si>
    <r>
      <t xml:space="preserve">4-1/4" </t>
    </r>
    <r>
      <rPr>
        <b/>
        <sz val="10"/>
        <color indexed="10"/>
        <rFont val="Arial"/>
        <family val="2"/>
      </rPr>
      <t>(108)</t>
    </r>
  </si>
  <si>
    <r>
      <t xml:space="preserve">4-1/2" </t>
    </r>
    <r>
      <rPr>
        <b/>
        <sz val="10"/>
        <color indexed="10"/>
        <rFont val="Arial"/>
        <family val="2"/>
      </rPr>
      <t>(114)</t>
    </r>
  </si>
  <si>
    <r>
      <t xml:space="preserve">4-3/4" </t>
    </r>
    <r>
      <rPr>
        <b/>
        <sz val="10"/>
        <color indexed="10"/>
        <rFont val="Arial"/>
        <family val="2"/>
      </rPr>
      <t>(121)</t>
    </r>
  </si>
  <si>
    <r>
      <t xml:space="preserve">5" </t>
    </r>
    <r>
      <rPr>
        <b/>
        <sz val="10"/>
        <color indexed="10"/>
        <rFont val="Arial"/>
        <family val="2"/>
      </rPr>
      <t>(127)</t>
    </r>
  </si>
  <si>
    <r>
      <t xml:space="preserve">5-1/4" </t>
    </r>
    <r>
      <rPr>
        <b/>
        <sz val="10"/>
        <color indexed="10"/>
        <rFont val="Arial"/>
        <family val="2"/>
      </rPr>
      <t>(133)</t>
    </r>
  </si>
  <si>
    <r>
      <t xml:space="preserve">5-1/2" </t>
    </r>
    <r>
      <rPr>
        <b/>
        <sz val="10"/>
        <color indexed="10"/>
        <rFont val="Arial"/>
        <family val="2"/>
      </rPr>
      <t>(140)</t>
    </r>
  </si>
  <si>
    <r>
      <t xml:space="preserve">5-3/4" </t>
    </r>
    <r>
      <rPr>
        <b/>
        <sz val="10"/>
        <color indexed="10"/>
        <rFont val="Arial"/>
        <family val="2"/>
      </rPr>
      <t>(146)</t>
    </r>
  </si>
  <si>
    <r>
      <t xml:space="preserve">6" </t>
    </r>
    <r>
      <rPr>
        <b/>
        <sz val="10"/>
        <color indexed="10"/>
        <rFont val="Arial"/>
        <family val="2"/>
      </rPr>
      <t>(152)</t>
    </r>
  </si>
  <si>
    <r>
      <t xml:space="preserve">17.8 </t>
    </r>
    <r>
      <rPr>
        <b/>
        <sz val="10"/>
        <color indexed="10"/>
        <rFont val="Arial"/>
        <family val="2"/>
      </rPr>
      <t>(8.07)</t>
    </r>
  </si>
  <si>
    <r>
      <t xml:space="preserve">19.2 </t>
    </r>
    <r>
      <rPr>
        <b/>
        <sz val="10"/>
        <color indexed="10"/>
        <rFont val="Arial"/>
        <family val="2"/>
      </rPr>
      <t>(8.71)</t>
    </r>
  </si>
  <si>
    <r>
      <t xml:space="preserve">16.5 </t>
    </r>
    <r>
      <rPr>
        <b/>
        <sz val="10"/>
        <color indexed="10"/>
        <rFont val="Arial"/>
        <family val="2"/>
      </rPr>
      <t>(7.48)</t>
    </r>
  </si>
  <si>
    <r>
      <t xml:space="preserve">20.5 </t>
    </r>
    <r>
      <rPr>
        <b/>
        <sz val="10"/>
        <color indexed="10"/>
        <rFont val="Arial"/>
        <family val="2"/>
      </rPr>
      <t>(9.29)</t>
    </r>
  </si>
  <si>
    <r>
      <t xml:space="preserve">21.9 </t>
    </r>
    <r>
      <rPr>
        <b/>
        <sz val="10"/>
        <color indexed="10"/>
        <rFont val="Arial"/>
        <family val="2"/>
      </rPr>
      <t>(9.93)</t>
    </r>
  </si>
  <si>
    <r>
      <t xml:space="preserve">23.3 </t>
    </r>
    <r>
      <rPr>
        <b/>
        <sz val="10"/>
        <color indexed="10"/>
        <rFont val="Arial"/>
        <family val="2"/>
      </rPr>
      <t>(10.57)</t>
    </r>
  </si>
  <si>
    <r>
      <t xml:space="preserve">24.7 </t>
    </r>
    <r>
      <rPr>
        <b/>
        <sz val="10"/>
        <color indexed="10"/>
        <rFont val="Arial"/>
        <family val="2"/>
      </rPr>
      <t>(11.2)</t>
    </r>
  </si>
  <si>
    <r>
      <t xml:space="preserve">26.1 </t>
    </r>
    <r>
      <rPr>
        <b/>
        <sz val="10"/>
        <color indexed="10"/>
        <rFont val="Arial"/>
        <family val="2"/>
      </rPr>
      <t>(11.84)</t>
    </r>
  </si>
  <si>
    <r>
      <t xml:space="preserve">27.4 </t>
    </r>
    <r>
      <rPr>
        <b/>
        <sz val="10"/>
        <color indexed="10"/>
        <rFont val="Arial"/>
        <family val="2"/>
      </rPr>
      <t>(12.43)</t>
    </r>
  </si>
  <si>
    <r>
      <t xml:space="preserve">28.8 </t>
    </r>
    <r>
      <rPr>
        <b/>
        <sz val="10"/>
        <color indexed="10"/>
        <rFont val="Arial"/>
        <family val="2"/>
      </rPr>
      <t>(13.06)</t>
    </r>
  </si>
  <si>
    <r>
      <t xml:space="preserve">31.6 </t>
    </r>
    <r>
      <rPr>
        <b/>
        <sz val="10"/>
        <color indexed="10"/>
        <rFont val="Arial"/>
        <family val="2"/>
      </rPr>
      <t>(14.33)</t>
    </r>
  </si>
  <si>
    <r>
      <t xml:space="preserve">33 </t>
    </r>
    <r>
      <rPr>
        <b/>
        <sz val="10"/>
        <color indexed="10"/>
        <rFont val="Arial"/>
        <family val="2"/>
      </rPr>
      <t>(14.97)</t>
    </r>
  </si>
  <si>
    <r>
      <t xml:space="preserve">34.3 </t>
    </r>
    <r>
      <rPr>
        <b/>
        <sz val="10"/>
        <color indexed="10"/>
        <rFont val="Arial"/>
        <family val="2"/>
      </rPr>
      <t>(15.56)</t>
    </r>
  </si>
  <si>
    <r>
      <t xml:space="preserve">35.7 </t>
    </r>
    <r>
      <rPr>
        <b/>
        <sz val="10"/>
        <color indexed="10"/>
        <rFont val="Arial"/>
        <family val="2"/>
      </rPr>
      <t>(16.19)</t>
    </r>
  </si>
  <si>
    <r>
      <t xml:space="preserve">37.1 </t>
    </r>
    <r>
      <rPr>
        <b/>
        <sz val="10"/>
        <color indexed="10"/>
        <rFont val="Arial"/>
        <family val="2"/>
      </rPr>
      <t>(16.83)</t>
    </r>
  </si>
  <si>
    <r>
      <t xml:space="preserve">38.5 </t>
    </r>
    <r>
      <rPr>
        <b/>
        <sz val="10"/>
        <color indexed="10"/>
        <rFont val="Arial"/>
        <family val="2"/>
      </rPr>
      <t>(17.46)</t>
    </r>
  </si>
  <si>
    <r>
      <t xml:space="preserve">41.2 </t>
    </r>
    <r>
      <rPr>
        <b/>
        <sz val="10"/>
        <color indexed="10"/>
        <rFont val="Arial"/>
        <family val="2"/>
      </rPr>
      <t>(18.69)</t>
    </r>
  </si>
  <si>
    <r>
      <t xml:space="preserve">42.6 </t>
    </r>
    <r>
      <rPr>
        <b/>
        <sz val="10"/>
        <color indexed="10"/>
        <rFont val="Arial"/>
        <family val="2"/>
      </rPr>
      <t>(19.32)</t>
    </r>
  </si>
  <si>
    <r>
      <t xml:space="preserve">44 </t>
    </r>
    <r>
      <rPr>
        <b/>
        <sz val="10"/>
        <color indexed="10"/>
        <rFont val="Arial"/>
        <family val="2"/>
      </rPr>
      <t>(19.96)</t>
    </r>
  </si>
  <si>
    <r>
      <t xml:space="preserve">29.4 </t>
    </r>
    <r>
      <rPr>
        <b/>
        <sz val="10"/>
        <color indexed="10"/>
        <rFont val="Arial"/>
        <family val="2"/>
      </rPr>
      <t>(13.34)</t>
    </r>
  </si>
  <si>
    <r>
      <t xml:space="preserve">31.1 </t>
    </r>
    <r>
      <rPr>
        <b/>
        <sz val="10"/>
        <color indexed="10"/>
        <rFont val="Arial"/>
        <family val="2"/>
      </rPr>
      <t>(14.11)</t>
    </r>
  </si>
  <si>
    <r>
      <t xml:space="preserve">33.1 </t>
    </r>
    <r>
      <rPr>
        <b/>
        <sz val="10"/>
        <color indexed="10"/>
        <rFont val="Arial"/>
        <family val="2"/>
      </rPr>
      <t>(15.01)</t>
    </r>
  </si>
  <si>
    <r>
      <t xml:space="preserve">35.3 </t>
    </r>
    <r>
      <rPr>
        <b/>
        <sz val="10"/>
        <color indexed="10"/>
        <rFont val="Arial"/>
        <family val="2"/>
      </rPr>
      <t>(16.01)</t>
    </r>
  </si>
  <si>
    <r>
      <t xml:space="preserve">37.4 </t>
    </r>
    <r>
      <rPr>
        <b/>
        <sz val="10"/>
        <color indexed="10"/>
        <rFont val="Arial"/>
        <family val="2"/>
      </rPr>
      <t>(16.96)</t>
    </r>
  </si>
  <si>
    <r>
      <t xml:space="preserve">39.8 </t>
    </r>
    <r>
      <rPr>
        <b/>
        <sz val="10"/>
        <color indexed="10"/>
        <rFont val="Arial"/>
        <family val="2"/>
      </rPr>
      <t>(18.05)</t>
    </r>
  </si>
  <si>
    <r>
      <t xml:space="preserve">41.7 </t>
    </r>
    <r>
      <rPr>
        <b/>
        <sz val="10"/>
        <color indexed="10"/>
        <rFont val="Arial"/>
        <family val="2"/>
      </rPr>
      <t>(18.91)</t>
    </r>
  </si>
  <si>
    <r>
      <t xml:space="preserve">43.9 </t>
    </r>
    <r>
      <rPr>
        <b/>
        <sz val="10"/>
        <color indexed="10"/>
        <rFont val="Arial"/>
        <family val="2"/>
      </rPr>
      <t>(19.91)</t>
    </r>
  </si>
  <si>
    <r>
      <t xml:space="preserve">46.1 </t>
    </r>
    <r>
      <rPr>
        <b/>
        <sz val="10"/>
        <color indexed="10"/>
        <rFont val="Arial"/>
        <family val="2"/>
      </rPr>
      <t>(20.91)</t>
    </r>
  </si>
  <si>
    <r>
      <t xml:space="preserve">48.2 </t>
    </r>
    <r>
      <rPr>
        <b/>
        <sz val="10"/>
        <color indexed="10"/>
        <rFont val="Arial"/>
        <family val="2"/>
      </rPr>
      <t>(21.86)</t>
    </r>
  </si>
  <si>
    <r>
      <t xml:space="preserve">50.4 </t>
    </r>
    <r>
      <rPr>
        <b/>
        <sz val="10"/>
        <color indexed="10"/>
        <rFont val="Arial"/>
        <family val="2"/>
      </rPr>
      <t>(22.86)</t>
    </r>
  </si>
  <si>
    <r>
      <t xml:space="preserve">52.5 </t>
    </r>
    <r>
      <rPr>
        <b/>
        <sz val="10"/>
        <color indexed="10"/>
        <rFont val="Arial"/>
        <family val="2"/>
      </rPr>
      <t>(23.81)</t>
    </r>
  </si>
  <si>
    <r>
      <t xml:space="preserve">54.7 </t>
    </r>
    <r>
      <rPr>
        <b/>
        <sz val="10"/>
        <color indexed="10"/>
        <rFont val="Arial"/>
        <family val="2"/>
      </rPr>
      <t>(24.81)</t>
    </r>
  </si>
  <si>
    <r>
      <t xml:space="preserve">56.9 </t>
    </r>
    <r>
      <rPr>
        <b/>
        <sz val="10"/>
        <color indexed="10"/>
        <rFont val="Arial"/>
        <family val="2"/>
      </rPr>
      <t>(25.81)</t>
    </r>
  </si>
  <si>
    <r>
      <t xml:space="preserve">59 </t>
    </r>
    <r>
      <rPr>
        <b/>
        <sz val="10"/>
        <color indexed="10"/>
        <rFont val="Arial"/>
        <family val="2"/>
      </rPr>
      <t>(26.76)</t>
    </r>
  </si>
  <si>
    <r>
      <t xml:space="preserve">61.2 </t>
    </r>
    <r>
      <rPr>
        <b/>
        <sz val="10"/>
        <color indexed="10"/>
        <rFont val="Arial"/>
        <family val="2"/>
      </rPr>
      <t>(27.76)</t>
    </r>
  </si>
  <si>
    <r>
      <t xml:space="preserve">63.3 </t>
    </r>
    <r>
      <rPr>
        <b/>
        <sz val="10"/>
        <color indexed="10"/>
        <rFont val="Arial"/>
        <family val="2"/>
      </rPr>
      <t>(28.71)</t>
    </r>
  </si>
  <si>
    <r>
      <t xml:space="preserve">65.5 </t>
    </r>
    <r>
      <rPr>
        <b/>
        <sz val="10"/>
        <color indexed="10"/>
        <rFont val="Arial"/>
        <family val="2"/>
      </rPr>
      <t>(29.71)</t>
    </r>
  </si>
  <si>
    <r>
      <t xml:space="preserve">67.7 </t>
    </r>
    <r>
      <rPr>
        <b/>
        <sz val="10"/>
        <color indexed="10"/>
        <rFont val="Arial"/>
        <family val="2"/>
      </rPr>
      <t>(30.71)</t>
    </r>
  </si>
  <si>
    <r>
      <t xml:space="preserve">69.8 </t>
    </r>
    <r>
      <rPr>
        <b/>
        <sz val="10"/>
        <color indexed="10"/>
        <rFont val="Arial"/>
        <family val="2"/>
      </rPr>
      <t>(31.66)</t>
    </r>
  </si>
  <si>
    <r>
      <t xml:space="preserve">71.9 </t>
    </r>
    <r>
      <rPr>
        <b/>
        <sz val="10"/>
        <color indexed="10"/>
        <rFont val="Arial"/>
        <family val="2"/>
      </rPr>
      <t>(32.61)</t>
    </r>
  </si>
  <si>
    <r>
      <t xml:space="preserve">47 </t>
    </r>
    <r>
      <rPr>
        <b/>
        <sz val="10"/>
        <color indexed="10"/>
        <rFont val="Arial"/>
        <family val="2"/>
      </rPr>
      <t>(21.32)</t>
    </r>
  </si>
  <si>
    <r>
      <t xml:space="preserve">49.6 </t>
    </r>
    <r>
      <rPr>
        <b/>
        <sz val="10"/>
        <color indexed="10"/>
        <rFont val="Arial"/>
        <family val="2"/>
      </rPr>
      <t>(22.5)</t>
    </r>
  </si>
  <si>
    <r>
      <t xml:space="preserve">52.2 </t>
    </r>
    <r>
      <rPr>
        <b/>
        <sz val="10"/>
        <color indexed="10"/>
        <rFont val="Arial"/>
        <family val="2"/>
      </rPr>
      <t>(23.68)</t>
    </r>
  </si>
  <si>
    <r>
      <t xml:space="preserve">55.3 </t>
    </r>
    <r>
      <rPr>
        <b/>
        <sz val="10"/>
        <color indexed="10"/>
        <rFont val="Arial"/>
        <family val="2"/>
      </rPr>
      <t>(25.08)</t>
    </r>
  </si>
  <si>
    <r>
      <t xml:space="preserve">58.4 </t>
    </r>
    <r>
      <rPr>
        <b/>
        <sz val="10"/>
        <color indexed="10"/>
        <rFont val="Arial"/>
        <family val="2"/>
      </rPr>
      <t>(26.5)</t>
    </r>
  </si>
  <si>
    <r>
      <t xml:space="preserve">61.6 </t>
    </r>
    <r>
      <rPr>
        <b/>
        <sz val="10"/>
        <color indexed="10"/>
        <rFont val="Arial"/>
        <family val="2"/>
      </rPr>
      <t>(27.94)</t>
    </r>
  </si>
  <si>
    <r>
      <t xml:space="preserve">64.7 </t>
    </r>
    <r>
      <rPr>
        <b/>
        <sz val="10"/>
        <color indexed="10"/>
        <rFont val="Arial"/>
        <family val="2"/>
      </rPr>
      <t>(29.35)</t>
    </r>
  </si>
  <si>
    <r>
      <t xml:space="preserve">67.8 </t>
    </r>
    <r>
      <rPr>
        <b/>
        <sz val="10"/>
        <color indexed="10"/>
        <rFont val="Arial"/>
        <family val="2"/>
      </rPr>
      <t>(30.75)</t>
    </r>
  </si>
  <si>
    <r>
      <t xml:space="preserve">70.9 </t>
    </r>
    <r>
      <rPr>
        <b/>
        <sz val="10"/>
        <color indexed="10"/>
        <rFont val="Arial"/>
        <family val="2"/>
      </rPr>
      <t>(32.16)</t>
    </r>
  </si>
  <si>
    <r>
      <t xml:space="preserve">74 </t>
    </r>
    <r>
      <rPr>
        <b/>
        <sz val="10"/>
        <color indexed="10"/>
        <rFont val="Arial"/>
        <family val="2"/>
      </rPr>
      <t>(33.57)</t>
    </r>
  </si>
  <si>
    <r>
      <t xml:space="preserve">77.1 </t>
    </r>
    <r>
      <rPr>
        <b/>
        <sz val="10"/>
        <color indexed="10"/>
        <rFont val="Arial"/>
        <family val="2"/>
      </rPr>
      <t>(34.97)</t>
    </r>
  </si>
  <si>
    <r>
      <t xml:space="preserve">80.2 </t>
    </r>
    <r>
      <rPr>
        <b/>
        <sz val="10"/>
        <color indexed="10"/>
        <rFont val="Arial"/>
        <family val="2"/>
      </rPr>
      <t>(36.38)</t>
    </r>
  </si>
  <si>
    <r>
      <t xml:space="preserve">83.3 </t>
    </r>
    <r>
      <rPr>
        <b/>
        <sz val="10"/>
        <color indexed="10"/>
        <rFont val="Arial"/>
        <family val="2"/>
      </rPr>
      <t>(37.78)</t>
    </r>
  </si>
  <si>
    <r>
      <t xml:space="preserve">86.4 </t>
    </r>
    <r>
      <rPr>
        <b/>
        <sz val="10"/>
        <color indexed="10"/>
        <rFont val="Arial"/>
        <family val="2"/>
      </rPr>
      <t>(39.19)</t>
    </r>
  </si>
  <si>
    <r>
      <t xml:space="preserve">89.5 </t>
    </r>
    <r>
      <rPr>
        <b/>
        <sz val="10"/>
        <color indexed="10"/>
        <rFont val="Arial"/>
        <family val="2"/>
      </rPr>
      <t>(40.6)</t>
    </r>
  </si>
  <si>
    <r>
      <t xml:space="preserve">92.7 </t>
    </r>
    <r>
      <rPr>
        <b/>
        <sz val="10"/>
        <color indexed="10"/>
        <rFont val="Arial"/>
        <family val="2"/>
      </rPr>
      <t>(42.05)</t>
    </r>
  </si>
  <si>
    <r>
      <t xml:space="preserve">95.8 </t>
    </r>
    <r>
      <rPr>
        <b/>
        <sz val="10"/>
        <color indexed="10"/>
        <rFont val="Arial"/>
        <family val="2"/>
      </rPr>
      <t>(43.45)</t>
    </r>
  </si>
  <si>
    <r>
      <t xml:space="preserve">98.9 </t>
    </r>
    <r>
      <rPr>
        <b/>
        <sz val="10"/>
        <color indexed="10"/>
        <rFont val="Arial"/>
        <family val="2"/>
      </rPr>
      <t>(44.86)</t>
    </r>
  </si>
  <si>
    <r>
      <t xml:space="preserve">102 </t>
    </r>
    <r>
      <rPr>
        <b/>
        <sz val="10"/>
        <color indexed="10"/>
        <rFont val="Arial"/>
        <family val="2"/>
      </rPr>
      <t>(46.27)</t>
    </r>
  </si>
  <si>
    <r>
      <t xml:space="preserve">105 </t>
    </r>
    <r>
      <rPr>
        <b/>
        <sz val="10"/>
        <color indexed="10"/>
        <rFont val="Arial"/>
        <family val="2"/>
      </rPr>
      <t>(47.63)</t>
    </r>
  </si>
  <si>
    <r>
      <t xml:space="preserve">108 </t>
    </r>
    <r>
      <rPr>
        <b/>
        <sz val="10"/>
        <color indexed="10"/>
        <rFont val="Arial"/>
        <family val="2"/>
      </rPr>
      <t>(48.99)</t>
    </r>
  </si>
  <si>
    <r>
      <t xml:space="preserve">5.5 </t>
    </r>
    <r>
      <rPr>
        <b/>
        <sz val="10"/>
        <color indexed="10"/>
        <rFont val="Arial"/>
        <family val="2"/>
      </rPr>
      <t>(2.49)</t>
    </r>
  </si>
  <si>
    <r>
      <t xml:space="preserve">8.6 </t>
    </r>
    <r>
      <rPr>
        <b/>
        <sz val="10"/>
        <color indexed="10"/>
        <rFont val="Arial"/>
        <family val="2"/>
      </rPr>
      <t>(3.9)</t>
    </r>
  </si>
  <si>
    <r>
      <t xml:space="preserve">12.4 </t>
    </r>
    <r>
      <rPr>
        <b/>
        <sz val="10"/>
        <color indexed="10"/>
        <rFont val="Arial"/>
        <family val="2"/>
      </rPr>
      <t>(5.62)</t>
    </r>
  </si>
  <si>
    <r>
      <t xml:space="preserve">74.4 </t>
    </r>
    <r>
      <rPr>
        <b/>
        <sz val="10"/>
        <color indexed="10"/>
        <rFont val="Arial"/>
        <family val="2"/>
      </rPr>
      <t>(33.75)</t>
    </r>
  </si>
  <si>
    <r>
      <t xml:space="preserve">78 </t>
    </r>
    <r>
      <rPr>
        <b/>
        <sz val="10"/>
        <color indexed="10"/>
        <rFont val="Arial"/>
        <family val="2"/>
      </rPr>
      <t>(35.38)</t>
    </r>
  </si>
  <si>
    <r>
      <t xml:space="preserve">81.9 </t>
    </r>
    <r>
      <rPr>
        <b/>
        <sz val="10"/>
        <color indexed="10"/>
        <rFont val="Arial"/>
        <family val="2"/>
      </rPr>
      <t>(37.15)</t>
    </r>
  </si>
  <si>
    <r>
      <t xml:space="preserve">86.1 </t>
    </r>
    <r>
      <rPr>
        <b/>
        <sz val="10"/>
        <color indexed="10"/>
        <rFont val="Arial"/>
        <family val="2"/>
      </rPr>
      <t>(39.05)</t>
    </r>
  </si>
  <si>
    <r>
      <t xml:space="preserve">90.3 </t>
    </r>
    <r>
      <rPr>
        <b/>
        <sz val="10"/>
        <color indexed="10"/>
        <rFont val="Arial"/>
        <family val="2"/>
      </rPr>
      <t>(40.96)</t>
    </r>
  </si>
  <si>
    <r>
      <t xml:space="preserve">94.6 </t>
    </r>
    <r>
      <rPr>
        <b/>
        <sz val="10"/>
        <color indexed="10"/>
        <rFont val="Arial"/>
        <family val="2"/>
      </rPr>
      <t>(42.91)</t>
    </r>
  </si>
  <si>
    <r>
      <t xml:space="preserve">98.8 </t>
    </r>
    <r>
      <rPr>
        <b/>
        <sz val="10"/>
        <color indexed="10"/>
        <rFont val="Arial"/>
        <family val="2"/>
      </rPr>
      <t>(44.81)</t>
    </r>
  </si>
  <si>
    <r>
      <t xml:space="preserve">103 </t>
    </r>
    <r>
      <rPr>
        <b/>
        <sz val="10"/>
        <color indexed="10"/>
        <rFont val="Arial"/>
        <family val="2"/>
      </rPr>
      <t>(46.72)</t>
    </r>
  </si>
  <si>
    <r>
      <t xml:space="preserve">107 </t>
    </r>
    <r>
      <rPr>
        <b/>
        <sz val="10"/>
        <color indexed="10"/>
        <rFont val="Arial"/>
        <family val="2"/>
      </rPr>
      <t>(48.53)</t>
    </r>
  </si>
  <si>
    <r>
      <t xml:space="preserve">111 </t>
    </r>
    <r>
      <rPr>
        <b/>
        <sz val="10"/>
        <color indexed="10"/>
        <rFont val="Arial"/>
        <family val="2"/>
      </rPr>
      <t>(50.35)</t>
    </r>
  </si>
  <si>
    <r>
      <t xml:space="preserve">116 </t>
    </r>
    <r>
      <rPr>
        <b/>
        <sz val="10"/>
        <color indexed="10"/>
        <rFont val="Arial"/>
        <family val="2"/>
      </rPr>
      <t>(52.62)</t>
    </r>
  </si>
  <si>
    <r>
      <t xml:space="preserve">120 </t>
    </r>
    <r>
      <rPr>
        <b/>
        <sz val="10"/>
        <color indexed="10"/>
        <rFont val="Arial"/>
        <family val="2"/>
      </rPr>
      <t>(54.43)</t>
    </r>
  </si>
  <si>
    <r>
      <t xml:space="preserve">124 </t>
    </r>
    <r>
      <rPr>
        <b/>
        <sz val="10"/>
        <color indexed="10"/>
        <rFont val="Arial"/>
        <family val="2"/>
      </rPr>
      <t>(56.25)</t>
    </r>
  </si>
  <si>
    <r>
      <t xml:space="preserve">128 </t>
    </r>
    <r>
      <rPr>
        <b/>
        <sz val="10"/>
        <color indexed="10"/>
        <rFont val="Arial"/>
        <family val="2"/>
      </rPr>
      <t>(58.06)</t>
    </r>
  </si>
  <si>
    <r>
      <t xml:space="preserve">133 </t>
    </r>
    <r>
      <rPr>
        <b/>
        <sz val="10"/>
        <color indexed="10"/>
        <rFont val="Arial"/>
        <family val="2"/>
      </rPr>
      <t>(60.33)</t>
    </r>
  </si>
  <si>
    <r>
      <t xml:space="preserve">137 </t>
    </r>
    <r>
      <rPr>
        <b/>
        <sz val="10"/>
        <color indexed="10"/>
        <rFont val="Arial"/>
        <family val="2"/>
      </rPr>
      <t>(62.14)</t>
    </r>
  </si>
  <si>
    <r>
      <t xml:space="preserve">141 </t>
    </r>
    <r>
      <rPr>
        <b/>
        <sz val="10"/>
        <color indexed="10"/>
        <rFont val="Arial"/>
        <family val="2"/>
      </rPr>
      <t>(63.96)</t>
    </r>
  </si>
  <si>
    <r>
      <t xml:space="preserve">146 </t>
    </r>
    <r>
      <rPr>
        <b/>
        <sz val="10"/>
        <color indexed="10"/>
        <rFont val="Arial"/>
        <family val="2"/>
      </rPr>
      <t>(66.22)</t>
    </r>
  </si>
  <si>
    <r>
      <t xml:space="preserve">150 </t>
    </r>
    <r>
      <rPr>
        <b/>
        <sz val="10"/>
        <color indexed="10"/>
        <rFont val="Arial"/>
        <family val="2"/>
      </rPr>
      <t>(68.04)</t>
    </r>
  </si>
  <si>
    <r>
      <t xml:space="preserve">154 </t>
    </r>
    <r>
      <rPr>
        <b/>
        <sz val="10"/>
        <color indexed="10"/>
        <rFont val="Arial"/>
        <family val="2"/>
      </rPr>
      <t>(69.85)</t>
    </r>
  </si>
  <si>
    <r>
      <t xml:space="preserve">16.9 </t>
    </r>
    <r>
      <rPr>
        <b/>
        <sz val="10"/>
        <color indexed="10"/>
        <rFont val="Arial"/>
        <family val="2"/>
      </rPr>
      <t>(7.67)</t>
    </r>
  </si>
  <si>
    <r>
      <t xml:space="preserve">104 </t>
    </r>
    <r>
      <rPr>
        <b/>
        <sz val="10"/>
        <color indexed="10"/>
        <rFont val="Arial"/>
        <family val="2"/>
      </rPr>
      <t>(47.17)</t>
    </r>
  </si>
  <si>
    <r>
      <t xml:space="preserve">109 </t>
    </r>
    <r>
      <rPr>
        <b/>
        <sz val="10"/>
        <color indexed="10"/>
        <rFont val="Arial"/>
        <family val="2"/>
      </rPr>
      <t>(49.44)</t>
    </r>
  </si>
  <si>
    <r>
      <t xml:space="preserve">114 </t>
    </r>
    <r>
      <rPr>
        <b/>
        <sz val="10"/>
        <color indexed="10"/>
        <rFont val="Arial"/>
        <family val="2"/>
      </rPr>
      <t>(51.71)</t>
    </r>
  </si>
  <si>
    <r>
      <t xml:space="preserve">119 </t>
    </r>
    <r>
      <rPr>
        <b/>
        <sz val="10"/>
        <color indexed="10"/>
        <rFont val="Arial"/>
        <family val="2"/>
      </rPr>
      <t>(53.98)</t>
    </r>
  </si>
  <si>
    <r>
      <t xml:space="preserve">130 </t>
    </r>
    <r>
      <rPr>
        <b/>
        <sz val="10"/>
        <color indexed="10"/>
        <rFont val="Arial"/>
        <family val="2"/>
      </rPr>
      <t>(58.97)</t>
    </r>
  </si>
  <si>
    <r>
      <t xml:space="preserve">135 </t>
    </r>
    <r>
      <rPr>
        <b/>
        <sz val="10"/>
        <color indexed="10"/>
        <rFont val="Arial"/>
        <family val="2"/>
      </rPr>
      <t>(61.23)</t>
    </r>
  </si>
  <si>
    <r>
      <t xml:space="preserve">151 </t>
    </r>
    <r>
      <rPr>
        <b/>
        <sz val="10"/>
        <color indexed="10"/>
        <rFont val="Arial"/>
        <family val="2"/>
      </rPr>
      <t>(68.49)</t>
    </r>
  </si>
  <si>
    <r>
      <t xml:space="preserve">157 </t>
    </r>
    <r>
      <rPr>
        <b/>
        <sz val="10"/>
        <color indexed="10"/>
        <rFont val="Arial"/>
        <family val="2"/>
      </rPr>
      <t>(71.21)</t>
    </r>
  </si>
  <si>
    <r>
      <t xml:space="preserve">162 </t>
    </r>
    <r>
      <rPr>
        <b/>
        <sz val="10"/>
        <color indexed="10"/>
        <rFont val="Arial"/>
        <family val="2"/>
      </rPr>
      <t>(73.48)</t>
    </r>
  </si>
  <si>
    <r>
      <t xml:space="preserve">168 </t>
    </r>
    <r>
      <rPr>
        <b/>
        <sz val="10"/>
        <color indexed="10"/>
        <rFont val="Arial"/>
        <family val="2"/>
      </rPr>
      <t>(76.2)</t>
    </r>
  </si>
  <si>
    <r>
      <t xml:space="preserve">173 </t>
    </r>
    <r>
      <rPr>
        <b/>
        <sz val="10"/>
        <color indexed="10"/>
        <rFont val="Arial"/>
        <family val="2"/>
      </rPr>
      <t>(78.47)</t>
    </r>
  </si>
  <si>
    <r>
      <t xml:space="preserve">179 </t>
    </r>
    <r>
      <rPr>
        <b/>
        <sz val="10"/>
        <color indexed="10"/>
        <rFont val="Arial"/>
        <family val="2"/>
      </rPr>
      <t>(81.19)</t>
    </r>
  </si>
  <si>
    <r>
      <t xml:space="preserve">184 </t>
    </r>
    <r>
      <rPr>
        <b/>
        <sz val="10"/>
        <color indexed="10"/>
        <rFont val="Arial"/>
        <family val="2"/>
      </rPr>
      <t>(83.46)</t>
    </r>
  </si>
  <si>
    <r>
      <t xml:space="preserve">190 </t>
    </r>
    <r>
      <rPr>
        <b/>
        <sz val="10"/>
        <color indexed="10"/>
        <rFont val="Arial"/>
        <family val="2"/>
      </rPr>
      <t>(86.18)</t>
    </r>
  </si>
  <si>
    <r>
      <t xml:space="preserve">196 </t>
    </r>
    <r>
      <rPr>
        <b/>
        <sz val="10"/>
        <color indexed="10"/>
        <rFont val="Arial"/>
        <family val="2"/>
      </rPr>
      <t>(88.9)</t>
    </r>
  </si>
  <si>
    <r>
      <t xml:space="preserve">201 </t>
    </r>
    <r>
      <rPr>
        <b/>
        <sz val="10"/>
        <color indexed="10"/>
        <rFont val="Arial"/>
        <family val="2"/>
      </rPr>
      <t>(91.17)</t>
    </r>
  </si>
  <si>
    <r>
      <t xml:space="preserve">207 </t>
    </r>
    <r>
      <rPr>
        <b/>
        <sz val="10"/>
        <color indexed="10"/>
        <rFont val="Arial"/>
        <family val="2"/>
      </rPr>
      <t>(93.89)</t>
    </r>
  </si>
  <si>
    <r>
      <t xml:space="preserve">22.1 </t>
    </r>
    <r>
      <rPr>
        <b/>
        <sz val="10"/>
        <color indexed="10"/>
        <rFont val="Arial"/>
        <family val="2"/>
      </rPr>
      <t>(10.02)</t>
    </r>
  </si>
  <si>
    <r>
      <t xml:space="preserve">148 </t>
    </r>
    <r>
      <rPr>
        <b/>
        <sz val="10"/>
        <color indexed="10"/>
        <rFont val="Arial"/>
        <family val="2"/>
      </rPr>
      <t>(67.13)</t>
    </r>
  </si>
  <si>
    <r>
      <t xml:space="preserve">160 </t>
    </r>
    <r>
      <rPr>
        <b/>
        <sz val="10"/>
        <color indexed="10"/>
        <rFont val="Arial"/>
        <family val="2"/>
      </rPr>
      <t>(72.57)</t>
    </r>
  </si>
  <si>
    <r>
      <t xml:space="preserve">167 </t>
    </r>
    <r>
      <rPr>
        <b/>
        <sz val="10"/>
        <color indexed="10"/>
        <rFont val="Arial"/>
        <family val="2"/>
      </rPr>
      <t>(75.75)</t>
    </r>
  </si>
  <si>
    <r>
      <t xml:space="preserve">174 </t>
    </r>
    <r>
      <rPr>
        <b/>
        <sz val="10"/>
        <color indexed="10"/>
        <rFont val="Arial"/>
        <family val="2"/>
      </rPr>
      <t>(78.93)</t>
    </r>
  </si>
  <si>
    <r>
      <t xml:space="preserve">181 </t>
    </r>
    <r>
      <rPr>
        <b/>
        <sz val="10"/>
        <color indexed="10"/>
        <rFont val="Arial"/>
        <family val="2"/>
      </rPr>
      <t>(82.10)</t>
    </r>
  </si>
  <si>
    <r>
      <t xml:space="preserve">188 </t>
    </r>
    <r>
      <rPr>
        <b/>
        <sz val="10"/>
        <color indexed="10"/>
        <rFont val="Arial"/>
        <family val="2"/>
      </rPr>
      <t>(85.28)</t>
    </r>
  </si>
  <si>
    <r>
      <t xml:space="preserve">195 </t>
    </r>
    <r>
      <rPr>
        <b/>
        <sz val="10"/>
        <color indexed="10"/>
        <rFont val="Arial"/>
        <family val="2"/>
      </rPr>
      <t>(88.45)</t>
    </r>
  </si>
  <si>
    <r>
      <t xml:space="preserve">202 </t>
    </r>
    <r>
      <rPr>
        <b/>
        <sz val="10"/>
        <color indexed="10"/>
        <rFont val="Arial"/>
        <family val="2"/>
      </rPr>
      <t>(91.63)</t>
    </r>
  </si>
  <si>
    <r>
      <t xml:space="preserve">209 </t>
    </r>
    <r>
      <rPr>
        <b/>
        <sz val="10"/>
        <color indexed="10"/>
        <rFont val="Arial"/>
        <family val="2"/>
      </rPr>
      <t>(94.80)</t>
    </r>
  </si>
  <si>
    <r>
      <t xml:space="preserve">216 </t>
    </r>
    <r>
      <rPr>
        <b/>
        <sz val="10"/>
        <color indexed="10"/>
        <rFont val="Arial"/>
        <family val="2"/>
      </rPr>
      <t>(97.98)</t>
    </r>
  </si>
  <si>
    <r>
      <t xml:space="preserve">223 </t>
    </r>
    <r>
      <rPr>
        <b/>
        <sz val="10"/>
        <color indexed="10"/>
        <rFont val="Arial"/>
        <family val="2"/>
      </rPr>
      <t>(101.15)</t>
    </r>
  </si>
  <si>
    <r>
      <t xml:space="preserve">39.9 </t>
    </r>
    <r>
      <rPr>
        <b/>
        <sz val="10"/>
        <color indexed="10"/>
        <rFont val="Arial"/>
        <family val="2"/>
      </rPr>
      <t>(18.10)</t>
    </r>
  </si>
  <si>
    <r>
      <t xml:space="preserve">30.2 </t>
    </r>
    <r>
      <rPr>
        <b/>
        <sz val="10"/>
        <color indexed="10"/>
        <rFont val="Arial"/>
        <family val="2"/>
      </rPr>
      <t>(13.70)</t>
    </r>
  </si>
  <si>
    <r>
      <t xml:space="preserve">230 </t>
    </r>
    <r>
      <rPr>
        <b/>
        <sz val="10"/>
        <color indexed="10"/>
        <rFont val="Arial"/>
        <family val="2"/>
      </rPr>
      <t>(104.33)</t>
    </r>
  </si>
  <si>
    <r>
      <t xml:space="preserve">237 </t>
    </r>
    <r>
      <rPr>
        <b/>
        <sz val="10"/>
        <color indexed="10"/>
        <rFont val="Arial"/>
        <family val="2"/>
      </rPr>
      <t>(107.50)</t>
    </r>
  </si>
  <si>
    <r>
      <t xml:space="preserve">244 </t>
    </r>
    <r>
      <rPr>
        <b/>
        <sz val="10"/>
        <color indexed="10"/>
        <rFont val="Arial"/>
        <family val="2"/>
      </rPr>
      <t>(110.68)</t>
    </r>
  </si>
  <si>
    <r>
      <t xml:space="preserve">251 </t>
    </r>
    <r>
      <rPr>
        <b/>
        <sz val="10"/>
        <color indexed="10"/>
        <rFont val="Arial"/>
        <family val="2"/>
      </rPr>
      <t>(113.85)</t>
    </r>
  </si>
  <si>
    <r>
      <t xml:space="preserve">258 </t>
    </r>
    <r>
      <rPr>
        <b/>
        <sz val="10"/>
        <color indexed="10"/>
        <rFont val="Arial"/>
        <family val="2"/>
      </rPr>
      <t>(117.03)</t>
    </r>
  </si>
  <si>
    <r>
      <t xml:space="preserve">265 </t>
    </r>
    <r>
      <rPr>
        <b/>
        <sz val="10"/>
        <color indexed="10"/>
        <rFont val="Arial"/>
        <family val="2"/>
      </rPr>
      <t>(120.20)</t>
    </r>
  </si>
  <si>
    <r>
      <t xml:space="preserve">272 </t>
    </r>
    <r>
      <rPr>
        <b/>
        <sz val="10"/>
        <color indexed="10"/>
        <rFont val="Arial"/>
        <family val="2"/>
      </rPr>
      <t>(123.38)</t>
    </r>
  </si>
  <si>
    <r>
      <t xml:space="preserve">28 </t>
    </r>
    <r>
      <rPr>
        <b/>
        <sz val="10"/>
        <color indexed="10"/>
        <rFont val="Arial"/>
        <family val="2"/>
      </rPr>
      <t>(12.70)</t>
    </r>
  </si>
  <si>
    <r>
      <t xml:space="preserve">197 </t>
    </r>
    <r>
      <rPr>
        <b/>
        <sz val="10"/>
        <color indexed="10"/>
        <rFont val="Arial"/>
        <family val="2"/>
      </rPr>
      <t>(89.36)</t>
    </r>
  </si>
  <si>
    <r>
      <t xml:space="preserve">205 </t>
    </r>
    <r>
      <rPr>
        <b/>
        <sz val="10"/>
        <color indexed="10"/>
        <rFont val="Arial"/>
        <family val="2"/>
      </rPr>
      <t>(92.99)</t>
    </r>
  </si>
  <si>
    <r>
      <t xml:space="preserve">212 </t>
    </r>
    <r>
      <rPr>
        <b/>
        <sz val="10"/>
        <color indexed="10"/>
        <rFont val="Arial"/>
        <family val="2"/>
      </rPr>
      <t>(96.16)</t>
    </r>
  </si>
  <si>
    <r>
      <t xml:space="preserve">220 </t>
    </r>
    <r>
      <rPr>
        <b/>
        <sz val="10"/>
        <color indexed="10"/>
        <rFont val="Arial"/>
        <family val="2"/>
      </rPr>
      <t>(99.79)</t>
    </r>
  </si>
  <si>
    <r>
      <t xml:space="preserve">229 </t>
    </r>
    <r>
      <rPr>
        <b/>
        <sz val="10"/>
        <color indexed="10"/>
        <rFont val="Arial"/>
        <family val="2"/>
      </rPr>
      <t>(103.87)</t>
    </r>
  </si>
  <si>
    <r>
      <t xml:space="preserve">540 </t>
    </r>
    <r>
      <rPr>
        <b/>
        <sz val="10"/>
        <color indexed="10"/>
        <rFont val="Arial"/>
        <family val="2"/>
      </rPr>
      <t>(244.94)</t>
    </r>
  </si>
  <si>
    <r>
      <t xml:space="preserve">246 </t>
    </r>
    <r>
      <rPr>
        <b/>
        <sz val="10"/>
        <color indexed="10"/>
        <rFont val="Arial"/>
        <family val="2"/>
      </rPr>
      <t>(111.58)</t>
    </r>
  </si>
  <si>
    <r>
      <t xml:space="preserve">255 </t>
    </r>
    <r>
      <rPr>
        <b/>
        <sz val="10"/>
        <color indexed="10"/>
        <rFont val="Arial"/>
        <family val="2"/>
      </rPr>
      <t>(115.67)</t>
    </r>
  </si>
  <si>
    <r>
      <t xml:space="preserve">263 </t>
    </r>
    <r>
      <rPr>
        <b/>
        <sz val="10"/>
        <color indexed="10"/>
        <rFont val="Arial"/>
        <family val="2"/>
      </rPr>
      <t>(119.29)</t>
    </r>
  </si>
  <si>
    <r>
      <t xml:space="preserve">280 </t>
    </r>
    <r>
      <rPr>
        <b/>
        <sz val="10"/>
        <color indexed="10"/>
        <rFont val="Arial"/>
        <family val="2"/>
      </rPr>
      <t>(127.01)</t>
    </r>
  </si>
  <si>
    <r>
      <t xml:space="preserve">289 </t>
    </r>
    <r>
      <rPr>
        <b/>
        <sz val="10"/>
        <color indexed="10"/>
        <rFont val="Arial"/>
        <family val="2"/>
      </rPr>
      <t>(131.09)</t>
    </r>
  </si>
  <si>
    <r>
      <t xml:space="preserve">298 </t>
    </r>
    <r>
      <rPr>
        <b/>
        <sz val="10"/>
        <color indexed="10"/>
        <rFont val="Arial"/>
        <family val="2"/>
      </rPr>
      <t>(135.17)</t>
    </r>
  </si>
  <si>
    <r>
      <t xml:space="preserve">306 </t>
    </r>
    <r>
      <rPr>
        <b/>
        <sz val="10"/>
        <color indexed="10"/>
        <rFont val="Arial"/>
        <family val="2"/>
      </rPr>
      <t>(138.80)</t>
    </r>
  </si>
  <si>
    <r>
      <t xml:space="preserve">315 </t>
    </r>
    <r>
      <rPr>
        <b/>
        <sz val="10"/>
        <color indexed="10"/>
        <rFont val="Arial"/>
        <family val="2"/>
      </rPr>
      <t>(142.88)</t>
    </r>
  </si>
  <si>
    <r>
      <t xml:space="preserve">324 </t>
    </r>
    <r>
      <rPr>
        <b/>
        <sz val="10"/>
        <color indexed="10"/>
        <rFont val="Arial"/>
        <family val="2"/>
      </rPr>
      <t>(146.96)</t>
    </r>
  </si>
  <si>
    <r>
      <t xml:space="preserve">332 </t>
    </r>
    <r>
      <rPr>
        <b/>
        <sz val="10"/>
        <color indexed="10"/>
        <rFont val="Arial"/>
        <family val="2"/>
      </rPr>
      <t>(15.59)</t>
    </r>
  </si>
  <si>
    <r>
      <t xml:space="preserve">341 </t>
    </r>
    <r>
      <rPr>
        <b/>
        <sz val="10"/>
        <color indexed="10"/>
        <rFont val="Arial"/>
        <family val="2"/>
      </rPr>
      <t>(154.68)</t>
    </r>
  </si>
  <si>
    <r>
      <t xml:space="preserve">349 </t>
    </r>
    <r>
      <rPr>
        <b/>
        <sz val="10"/>
        <color indexed="10"/>
        <rFont val="Arial"/>
        <family val="2"/>
      </rPr>
      <t>(158.30</t>
    </r>
  </si>
  <si>
    <r>
      <t xml:space="preserve">261 </t>
    </r>
    <r>
      <rPr>
        <b/>
        <sz val="10"/>
        <color indexed="10"/>
        <rFont val="Arial"/>
        <family val="2"/>
      </rPr>
      <t>(118.39)</t>
    </r>
  </si>
  <si>
    <r>
      <t xml:space="preserve">270 </t>
    </r>
    <r>
      <rPr>
        <b/>
        <sz val="10"/>
        <color indexed="10"/>
        <rFont val="Arial"/>
        <family val="2"/>
      </rPr>
      <t>(122.47)</t>
    </r>
  </si>
  <si>
    <r>
      <t xml:space="preserve">279 </t>
    </r>
    <r>
      <rPr>
        <b/>
        <sz val="10"/>
        <color indexed="10"/>
        <rFont val="Arial"/>
        <family val="2"/>
      </rPr>
      <t>(126.55)</t>
    </r>
  </si>
  <si>
    <r>
      <t xml:space="preserve">290 </t>
    </r>
    <r>
      <rPr>
        <b/>
        <sz val="10"/>
        <color indexed="10"/>
        <rFont val="Arial"/>
        <family val="2"/>
      </rPr>
      <t>(131.54)</t>
    </r>
  </si>
  <si>
    <r>
      <t xml:space="preserve">300 </t>
    </r>
    <r>
      <rPr>
        <b/>
        <sz val="10"/>
        <color indexed="10"/>
        <rFont val="Arial"/>
        <family val="2"/>
      </rPr>
      <t>(136.08)</t>
    </r>
  </si>
  <si>
    <r>
      <t xml:space="preserve">310 </t>
    </r>
    <r>
      <rPr>
        <b/>
        <sz val="10"/>
        <color indexed="10"/>
        <rFont val="Arial"/>
        <family val="2"/>
      </rPr>
      <t>(140.61)</t>
    </r>
  </si>
  <si>
    <r>
      <t xml:space="preserve">321 </t>
    </r>
    <r>
      <rPr>
        <b/>
        <sz val="10"/>
        <color indexed="10"/>
        <rFont val="Arial"/>
        <family val="2"/>
      </rPr>
      <t>(145.60)</t>
    </r>
  </si>
  <si>
    <r>
      <t xml:space="preserve">332 </t>
    </r>
    <r>
      <rPr>
        <b/>
        <sz val="10"/>
        <color indexed="10"/>
        <rFont val="Arial"/>
        <family val="2"/>
      </rPr>
      <t>(150.59)</t>
    </r>
  </si>
  <si>
    <r>
      <t xml:space="preserve">342 </t>
    </r>
    <r>
      <rPr>
        <b/>
        <sz val="10"/>
        <color indexed="10"/>
        <rFont val="Arial"/>
        <family val="2"/>
      </rPr>
      <t>(155.13)</t>
    </r>
  </si>
  <si>
    <r>
      <t xml:space="preserve">353 </t>
    </r>
    <r>
      <rPr>
        <b/>
        <sz val="10"/>
        <color indexed="10"/>
        <rFont val="Arial"/>
        <family val="2"/>
      </rPr>
      <t>(160.12)</t>
    </r>
  </si>
  <si>
    <r>
      <t xml:space="preserve">363 </t>
    </r>
    <r>
      <rPr>
        <b/>
        <sz val="10"/>
        <color indexed="10"/>
        <rFont val="Arial"/>
        <family val="2"/>
      </rPr>
      <t>(164.65)</t>
    </r>
  </si>
  <si>
    <r>
      <t xml:space="preserve">374 </t>
    </r>
    <r>
      <rPr>
        <b/>
        <sz val="10"/>
        <color indexed="10"/>
        <rFont val="Arial"/>
        <family val="2"/>
      </rPr>
      <t>(169.64)</t>
    </r>
  </si>
  <si>
    <r>
      <t xml:space="preserve">384 </t>
    </r>
    <r>
      <rPr>
        <b/>
        <sz val="10"/>
        <color indexed="10"/>
        <rFont val="Arial"/>
        <family val="2"/>
      </rPr>
      <t>(174.18)</t>
    </r>
  </si>
  <si>
    <r>
      <t xml:space="preserve">395 </t>
    </r>
    <r>
      <rPr>
        <b/>
        <sz val="10"/>
        <color indexed="10"/>
        <rFont val="Arial"/>
        <family val="2"/>
      </rPr>
      <t>(179.17)</t>
    </r>
  </si>
  <si>
    <r>
      <t xml:space="preserve">405 </t>
    </r>
    <r>
      <rPr>
        <b/>
        <sz val="10"/>
        <color indexed="10"/>
        <rFont val="Arial"/>
        <family val="2"/>
      </rPr>
      <t>(183.70)</t>
    </r>
  </si>
  <si>
    <r>
      <t xml:space="preserve">416 </t>
    </r>
    <r>
      <rPr>
        <b/>
        <sz val="10"/>
        <color indexed="10"/>
        <rFont val="Arial"/>
        <family val="2"/>
      </rPr>
      <t>(188.69)</t>
    </r>
  </si>
  <si>
    <r>
      <t xml:space="preserve">426 </t>
    </r>
    <r>
      <rPr>
        <b/>
        <sz val="10"/>
        <color indexed="10"/>
        <rFont val="Arial"/>
        <family val="2"/>
      </rPr>
      <t>(193.23)</t>
    </r>
  </si>
  <si>
    <r>
      <t xml:space="preserve">437 </t>
    </r>
    <r>
      <rPr>
        <b/>
        <sz val="10"/>
        <color indexed="10"/>
        <rFont val="Arial"/>
        <family val="2"/>
      </rPr>
      <t>(198.22)</t>
    </r>
  </si>
  <si>
    <r>
      <t xml:space="preserve">333 </t>
    </r>
    <r>
      <rPr>
        <b/>
        <sz val="10"/>
        <color indexed="10"/>
        <rFont val="Arial"/>
        <family val="2"/>
      </rPr>
      <t>(151.05)</t>
    </r>
  </si>
  <si>
    <r>
      <t xml:space="preserve">344 </t>
    </r>
    <r>
      <rPr>
        <b/>
        <sz val="10"/>
        <color indexed="10"/>
        <rFont val="Arial"/>
        <family val="2"/>
      </rPr>
      <t>(156.04)</t>
    </r>
  </si>
  <si>
    <r>
      <t xml:space="preserve">355 </t>
    </r>
    <r>
      <rPr>
        <b/>
        <sz val="10"/>
        <color indexed="10"/>
        <rFont val="Arial"/>
        <family val="2"/>
      </rPr>
      <t>(161.03)</t>
    </r>
  </si>
  <si>
    <r>
      <t xml:space="preserve">366 </t>
    </r>
    <r>
      <rPr>
        <b/>
        <sz val="10"/>
        <color indexed="10"/>
        <rFont val="Arial"/>
        <family val="2"/>
      </rPr>
      <t>(166.01)</t>
    </r>
  </si>
  <si>
    <r>
      <t xml:space="preserve">379 </t>
    </r>
    <r>
      <rPr>
        <b/>
        <sz val="10"/>
        <color indexed="10"/>
        <rFont val="Arial"/>
        <family val="2"/>
      </rPr>
      <t>(171.91)</t>
    </r>
  </si>
  <si>
    <r>
      <t xml:space="preserve">391 </t>
    </r>
    <r>
      <rPr>
        <b/>
        <sz val="10"/>
        <color indexed="10"/>
        <rFont val="Arial"/>
        <family val="2"/>
      </rPr>
      <t>(177.35)</t>
    </r>
  </si>
  <si>
    <r>
      <t xml:space="preserve">403 </t>
    </r>
    <r>
      <rPr>
        <b/>
        <sz val="10"/>
        <color indexed="10"/>
        <rFont val="Arial"/>
        <family val="2"/>
      </rPr>
      <t>(182.80)</t>
    </r>
  </si>
  <si>
    <r>
      <t xml:space="preserve">428 </t>
    </r>
    <r>
      <rPr>
        <b/>
        <sz val="10"/>
        <color indexed="10"/>
        <rFont val="Arial"/>
        <family val="2"/>
      </rPr>
      <t>(194.14)</t>
    </r>
  </si>
  <si>
    <r>
      <t xml:space="preserve">441 </t>
    </r>
    <r>
      <rPr>
        <b/>
        <sz val="10"/>
        <color indexed="10"/>
        <rFont val="Arial"/>
        <family val="2"/>
      </rPr>
      <t>(200.03)</t>
    </r>
  </si>
  <si>
    <r>
      <t xml:space="preserve">453 </t>
    </r>
    <r>
      <rPr>
        <b/>
        <sz val="10"/>
        <color indexed="10"/>
        <rFont val="Arial"/>
        <family val="2"/>
      </rPr>
      <t>(205.48)</t>
    </r>
  </si>
  <si>
    <r>
      <t xml:space="preserve">465 </t>
    </r>
    <r>
      <rPr>
        <b/>
        <sz val="10"/>
        <color indexed="10"/>
        <rFont val="Arial"/>
        <family val="2"/>
      </rPr>
      <t>(210.92)</t>
    </r>
  </si>
  <si>
    <r>
      <t xml:space="preserve">478 </t>
    </r>
    <r>
      <rPr>
        <b/>
        <sz val="10"/>
        <color indexed="10"/>
        <rFont val="Arial"/>
        <family val="2"/>
      </rPr>
      <t>(216.82)</t>
    </r>
  </si>
  <si>
    <r>
      <t xml:space="preserve">490 </t>
    </r>
    <r>
      <rPr>
        <b/>
        <sz val="10"/>
        <color indexed="10"/>
        <rFont val="Arial"/>
        <family val="2"/>
      </rPr>
      <t>(222.26)</t>
    </r>
  </si>
  <si>
    <r>
      <t xml:space="preserve">503 </t>
    </r>
    <r>
      <rPr>
        <b/>
        <sz val="10"/>
        <color indexed="10"/>
        <rFont val="Arial"/>
        <family val="2"/>
      </rPr>
      <t>(228.16)</t>
    </r>
  </si>
  <si>
    <r>
      <t xml:space="preserve">515 </t>
    </r>
    <r>
      <rPr>
        <b/>
        <sz val="10"/>
        <color indexed="10"/>
        <rFont val="Arial"/>
        <family val="2"/>
      </rPr>
      <t>(233.60)</t>
    </r>
  </si>
  <si>
    <r>
      <t xml:space="preserve">527 </t>
    </r>
    <r>
      <rPr>
        <b/>
        <sz val="10"/>
        <color indexed="10"/>
        <rFont val="Arial"/>
        <family val="2"/>
      </rPr>
      <t>(239.04)</t>
    </r>
  </si>
  <si>
    <r>
      <t xml:space="preserve">34.4 </t>
    </r>
    <r>
      <rPr>
        <b/>
        <sz val="10"/>
        <color indexed="10"/>
        <rFont val="Arial"/>
        <family val="2"/>
      </rPr>
      <t>(15.60)</t>
    </r>
  </si>
  <si>
    <r>
      <t xml:space="preserve">42.5 </t>
    </r>
    <r>
      <rPr>
        <b/>
        <sz val="10"/>
        <color indexed="10"/>
        <rFont val="Arial"/>
        <family val="2"/>
      </rPr>
      <t>(19.28)</t>
    </r>
  </si>
  <si>
    <r>
      <t xml:space="preserve">49.7 </t>
    </r>
    <r>
      <rPr>
        <b/>
        <sz val="10"/>
        <color indexed="10"/>
        <rFont val="Arial"/>
        <family val="2"/>
      </rPr>
      <t>(22.54)</t>
    </r>
  </si>
  <si>
    <r>
      <t xml:space="preserve">2.1 </t>
    </r>
    <r>
      <rPr>
        <b/>
        <sz val="10"/>
        <color indexed="10"/>
        <rFont val="Arial"/>
        <family val="2"/>
      </rPr>
      <t>(0.95)</t>
    </r>
  </si>
  <si>
    <r>
      <t xml:space="preserve">3.6 </t>
    </r>
    <r>
      <rPr>
        <b/>
        <sz val="10"/>
        <color indexed="10"/>
        <rFont val="Arial"/>
        <family val="2"/>
      </rPr>
      <t>(1.63)</t>
    </r>
  </si>
  <si>
    <r>
      <t xml:space="preserve">4.8 </t>
    </r>
    <r>
      <rPr>
        <b/>
        <sz val="10"/>
        <color indexed="10"/>
        <rFont val="Arial"/>
        <family val="2"/>
      </rPr>
      <t>(2.18)</t>
    </r>
  </si>
  <si>
    <r>
      <t xml:space="preserve">7 </t>
    </r>
    <r>
      <rPr>
        <b/>
        <sz val="10"/>
        <color indexed="10"/>
        <rFont val="Arial"/>
        <family val="2"/>
      </rPr>
      <t>(3.18)</t>
    </r>
  </si>
  <si>
    <r>
      <t xml:space="preserve">9.4 </t>
    </r>
    <r>
      <rPr>
        <b/>
        <sz val="10"/>
        <color indexed="10"/>
        <rFont val="Arial"/>
        <family val="2"/>
      </rPr>
      <t>(4.26)</t>
    </r>
  </si>
  <si>
    <r>
      <t xml:space="preserve">11.3 </t>
    </r>
    <r>
      <rPr>
        <b/>
        <sz val="10"/>
        <color indexed="10"/>
        <rFont val="Arial"/>
        <family val="2"/>
      </rPr>
      <t>(5.13)</t>
    </r>
  </si>
  <si>
    <r>
      <t xml:space="preserve">13.8 </t>
    </r>
    <r>
      <rPr>
        <b/>
        <sz val="10"/>
        <color indexed="10"/>
        <rFont val="Arial"/>
        <family val="2"/>
      </rPr>
      <t>(6.26)</t>
    </r>
  </si>
  <si>
    <r>
      <t xml:space="preserve">16.8 </t>
    </r>
    <r>
      <rPr>
        <b/>
        <sz val="10"/>
        <color indexed="10"/>
        <rFont val="Arial"/>
        <family val="2"/>
      </rPr>
      <t>(7.62)</t>
    </r>
  </si>
  <si>
    <r>
      <t xml:space="preserve">20 </t>
    </r>
    <r>
      <rPr>
        <b/>
        <sz val="10"/>
        <color indexed="10"/>
        <rFont val="Arial"/>
        <family val="2"/>
      </rPr>
      <t>(9.07)</t>
    </r>
  </si>
  <si>
    <r>
      <t xml:space="preserve">23.1 </t>
    </r>
    <r>
      <rPr>
        <b/>
        <sz val="10"/>
        <color indexed="10"/>
        <rFont val="Arial"/>
        <family val="2"/>
      </rPr>
      <t>(10.48)</t>
    </r>
  </si>
  <si>
    <r>
      <t xml:space="preserve">22.4 </t>
    </r>
    <r>
      <rPr>
        <b/>
        <sz val="10"/>
        <color indexed="10"/>
        <rFont val="Arial"/>
        <family val="2"/>
      </rPr>
      <t>(10.16)</t>
    </r>
  </si>
  <si>
    <r>
      <t xml:space="preserve">21 </t>
    </r>
    <r>
      <rPr>
        <b/>
        <sz val="10"/>
        <color indexed="10"/>
        <rFont val="Arial"/>
        <family val="2"/>
      </rPr>
      <t>(9.53)</t>
    </r>
  </si>
  <si>
    <r>
      <t xml:space="preserve">20.2 </t>
    </r>
    <r>
      <rPr>
        <b/>
        <sz val="10"/>
        <color indexed="10"/>
        <rFont val="Arial"/>
        <family val="2"/>
      </rPr>
      <t>(9.16)</t>
    </r>
  </si>
  <si>
    <r>
      <t xml:space="preserve">34 </t>
    </r>
    <r>
      <rPr>
        <b/>
        <sz val="10"/>
        <color indexed="10"/>
        <rFont val="Arial"/>
        <family val="2"/>
      </rPr>
      <t>(15.42)</t>
    </r>
  </si>
  <si>
    <t>Section Modulus =</t>
  </si>
  <si>
    <t>Moment of Inertia =</t>
  </si>
  <si>
    <t>Raduis of Gyration=</t>
  </si>
  <si>
    <t>R</t>
  </si>
  <si>
    <t>610mm</t>
  </si>
  <si>
    <t>1829mm</t>
  </si>
  <si>
    <t>432mm</t>
  </si>
  <si>
    <t>Degrees</t>
  </si>
  <si>
    <t>Max. Brkt. Spa.</t>
  </si>
  <si>
    <t>Key In Platf. Width</t>
  </si>
  <si>
    <t>Vertical Vessel Platform Max. Bracket Spacing</t>
  </si>
  <si>
    <t>Key In Clr.</t>
  </si>
  <si>
    <t>76mm to 102mm</t>
  </si>
  <si>
    <t>Key In Radius</t>
  </si>
  <si>
    <t>Horizontal Run</t>
  </si>
  <si>
    <t>Stringer</t>
  </si>
  <si>
    <r>
      <t xml:space="preserve">Less Than </t>
    </r>
    <r>
      <rPr>
        <b/>
        <sz val="10"/>
        <color indexed="12"/>
        <rFont val="Arial"/>
        <family val="2"/>
      </rPr>
      <t>10 Feet</t>
    </r>
    <r>
      <rPr>
        <sz val="10"/>
        <rFont val="Arial"/>
      </rPr>
      <t xml:space="preserve"> </t>
    </r>
    <r>
      <rPr>
        <b/>
        <sz val="10"/>
        <color indexed="10"/>
        <rFont val="Arial"/>
        <family val="2"/>
      </rPr>
      <t>(3048mm)</t>
    </r>
  </si>
  <si>
    <t>C8 or C10</t>
  </si>
  <si>
    <t>C10X15.3 Min.</t>
  </si>
  <si>
    <r>
      <t xml:space="preserve">      obstructions are encountered - </t>
    </r>
    <r>
      <rPr>
        <sz val="10"/>
        <rFont val="Arial"/>
        <family val="2"/>
      </rPr>
      <t xml:space="preserve">See Detail </t>
    </r>
    <r>
      <rPr>
        <i/>
        <sz val="10"/>
        <color indexed="12"/>
        <rFont val="Arial"/>
        <family val="2"/>
      </rPr>
      <t xml:space="preserve">Clearance for Unavoidable Obstruction </t>
    </r>
  </si>
  <si>
    <r>
      <t xml:space="preserve">      </t>
    </r>
    <r>
      <rPr>
        <i/>
        <sz val="10"/>
        <color indexed="12"/>
        <rFont val="Arial"/>
        <family val="2"/>
      </rPr>
      <t xml:space="preserve">at rear of ladder </t>
    </r>
    <r>
      <rPr>
        <sz val="10"/>
        <rFont val="Arial"/>
        <family val="2"/>
      </rPr>
      <t>(Below).</t>
    </r>
  </si>
  <si>
    <r>
      <t xml:space="preserve">16. Cages shall extend a minimum of </t>
    </r>
    <r>
      <rPr>
        <sz val="10"/>
        <color indexed="12"/>
        <rFont val="Arial"/>
        <family val="2"/>
      </rPr>
      <t>3'-6"</t>
    </r>
    <r>
      <rPr>
        <sz val="10"/>
        <rFont val="Arial"/>
      </rPr>
      <t xml:space="preserve"> </t>
    </r>
    <r>
      <rPr>
        <sz val="10"/>
        <color indexed="10"/>
        <rFont val="Arial"/>
        <family val="2"/>
      </rPr>
      <t>(1067mm)</t>
    </r>
    <r>
      <rPr>
        <sz val="10"/>
        <rFont val="Arial"/>
      </rPr>
      <t xml:space="preserve"> above the top of landing,</t>
    </r>
  </si>
  <si>
    <t xml:space="preserve">         See Standards for member sizes &amp; additional details</t>
  </si>
  <si>
    <r>
      <t>10 to 20 Feet</t>
    </r>
    <r>
      <rPr>
        <sz val="10"/>
        <rFont val="Arial"/>
      </rPr>
      <t xml:space="preserve"> </t>
    </r>
    <r>
      <rPr>
        <b/>
        <sz val="10"/>
        <color indexed="10"/>
        <rFont val="Arial"/>
        <family val="2"/>
      </rPr>
      <t>(3048 to 6096mm)</t>
    </r>
  </si>
  <si>
    <r>
      <t>20 Feet</t>
    </r>
    <r>
      <rPr>
        <sz val="10"/>
        <rFont val="Arial"/>
      </rPr>
      <t xml:space="preserve"> </t>
    </r>
    <r>
      <rPr>
        <b/>
        <sz val="10"/>
        <color indexed="10"/>
        <rFont val="Arial"/>
        <family val="2"/>
      </rPr>
      <t>(6096mm)</t>
    </r>
    <r>
      <rPr>
        <sz val="10"/>
        <rFont val="Arial"/>
      </rPr>
      <t xml:space="preserve"> or More</t>
    </r>
  </si>
  <si>
    <t>C12 Min.</t>
  </si>
  <si>
    <t>2. Sway Bracing should be provided on all stairs with horizontal work point to work point</t>
  </si>
  <si>
    <r>
      <t xml:space="preserve"> </t>
    </r>
    <r>
      <rPr>
        <b/>
        <sz val="10"/>
        <rFont val="Arial"/>
        <family val="2"/>
      </rPr>
      <t xml:space="preserve">  of </t>
    </r>
    <r>
      <rPr>
        <b/>
        <sz val="10"/>
        <color indexed="12"/>
        <rFont val="Arial"/>
        <family val="2"/>
      </rPr>
      <t>15 Feet</t>
    </r>
    <r>
      <rPr>
        <b/>
        <sz val="10"/>
        <rFont val="Arial"/>
        <family val="2"/>
      </rPr>
      <t xml:space="preserve"> </t>
    </r>
    <r>
      <rPr>
        <b/>
        <sz val="10"/>
        <color indexed="10"/>
        <rFont val="Arial"/>
        <family val="2"/>
      </rPr>
      <t>(4572mm)</t>
    </r>
    <r>
      <rPr>
        <b/>
        <sz val="10"/>
        <rFont val="Arial"/>
        <family val="2"/>
      </rPr>
      <t xml:space="preserve"> or more and all stairs with fiberglass treads.</t>
    </r>
  </si>
  <si>
    <t>3. Stair angles greater than 45 degrees should always be avoided if possible.</t>
  </si>
  <si>
    <t>5. Any uniform combination of rise/tread dimensions may be used that will result in a stairway at the angle to</t>
  </si>
  <si>
    <t>Stair Design Notes</t>
  </si>
  <si>
    <r>
      <t xml:space="preserve">   </t>
    </r>
    <r>
      <rPr>
        <b/>
        <sz val="10"/>
        <rFont val="Arial"/>
        <family val="2"/>
      </rPr>
      <t xml:space="preserve">within the permissible range, stating the angle to the horizontal produced by each combination. </t>
    </r>
    <r>
      <rPr>
        <b/>
        <i/>
        <u/>
        <sz val="10"/>
        <rFont val="Arial"/>
        <family val="2"/>
      </rPr>
      <t>However, the</t>
    </r>
  </si>
  <si>
    <t>Work Point to Work Point</t>
  </si>
  <si>
    <r>
      <t xml:space="preserve">4. Stringer back to back dimension is typically </t>
    </r>
    <r>
      <rPr>
        <b/>
        <sz val="10"/>
        <color indexed="12"/>
        <rFont val="Arial"/>
        <family val="2"/>
      </rPr>
      <t>3'-0"</t>
    </r>
    <r>
      <rPr>
        <b/>
        <sz val="10"/>
        <rFont val="Arial"/>
        <family val="2"/>
      </rPr>
      <t xml:space="preserve"> </t>
    </r>
    <r>
      <rPr>
        <b/>
        <sz val="10"/>
        <color indexed="10"/>
        <rFont val="Arial"/>
        <family val="2"/>
      </rPr>
      <t>(914mm)</t>
    </r>
    <r>
      <rPr>
        <b/>
        <sz val="10"/>
        <rFont val="Arial"/>
        <family val="2"/>
      </rPr>
      <t xml:space="preserve"> unless otherwise specified.</t>
    </r>
  </si>
  <si>
    <t xml:space="preserve">   horizontal within the permissible range. The table below gives rise/tread dimensions which will produce a stairway</t>
  </si>
  <si>
    <t>Angle</t>
  </si>
  <si>
    <t>To</t>
  </si>
  <si>
    <t>Horz.</t>
  </si>
  <si>
    <t>Rise</t>
  </si>
  <si>
    <t>Tread</t>
  </si>
  <si>
    <r>
      <t>Inches</t>
    </r>
    <r>
      <rPr>
        <b/>
        <sz val="10"/>
        <rFont val="Arial"/>
        <family val="2"/>
      </rPr>
      <t xml:space="preserve"> </t>
    </r>
    <r>
      <rPr>
        <b/>
        <sz val="10"/>
        <color indexed="10"/>
        <rFont val="Arial"/>
        <family val="2"/>
      </rPr>
      <t>(mm)</t>
    </r>
  </si>
  <si>
    <r>
      <t>6-1/2"</t>
    </r>
    <r>
      <rPr>
        <sz val="10"/>
        <rFont val="Arial"/>
      </rPr>
      <t xml:space="preserve"> </t>
    </r>
    <r>
      <rPr>
        <b/>
        <sz val="10"/>
        <color indexed="10"/>
        <rFont val="Arial"/>
        <family val="2"/>
      </rPr>
      <t>(165)</t>
    </r>
  </si>
  <si>
    <r>
      <t>11"</t>
    </r>
    <r>
      <rPr>
        <sz val="10"/>
        <rFont val="Arial"/>
      </rPr>
      <t xml:space="preserve"> </t>
    </r>
    <r>
      <rPr>
        <b/>
        <sz val="10"/>
        <color indexed="10"/>
        <rFont val="Arial"/>
        <family val="2"/>
      </rPr>
      <t>(279)</t>
    </r>
  </si>
  <si>
    <r>
      <t xml:space="preserve">10-3/4" </t>
    </r>
    <r>
      <rPr>
        <b/>
        <sz val="10"/>
        <color indexed="10"/>
        <rFont val="Arial"/>
        <family val="2"/>
      </rPr>
      <t>(273)</t>
    </r>
  </si>
  <si>
    <r>
      <t xml:space="preserve">7" </t>
    </r>
    <r>
      <rPr>
        <b/>
        <sz val="10"/>
        <color indexed="10"/>
        <rFont val="Arial"/>
        <family val="2"/>
      </rPr>
      <t>(178)</t>
    </r>
  </si>
  <si>
    <r>
      <t xml:space="preserve">10-1/2" </t>
    </r>
    <r>
      <rPr>
        <b/>
        <sz val="10"/>
        <color indexed="10"/>
        <rFont val="Arial"/>
        <family val="2"/>
      </rPr>
      <t>(267)</t>
    </r>
  </si>
  <si>
    <r>
      <t xml:space="preserve">7-1/4" </t>
    </r>
    <r>
      <rPr>
        <b/>
        <sz val="10"/>
        <color indexed="10"/>
        <rFont val="Arial"/>
        <family val="2"/>
      </rPr>
      <t>(184)</t>
    </r>
  </si>
  <si>
    <r>
      <t xml:space="preserve">10-1/4" </t>
    </r>
    <r>
      <rPr>
        <b/>
        <sz val="10"/>
        <color indexed="10"/>
        <rFont val="Arial"/>
        <family val="2"/>
      </rPr>
      <t>(260)</t>
    </r>
  </si>
  <si>
    <r>
      <t xml:space="preserve">7-1/2" </t>
    </r>
    <r>
      <rPr>
        <b/>
        <sz val="10"/>
        <color indexed="10"/>
        <rFont val="Arial"/>
        <family val="2"/>
      </rPr>
      <t>(190)</t>
    </r>
  </si>
  <si>
    <r>
      <t xml:space="preserve">10" </t>
    </r>
    <r>
      <rPr>
        <b/>
        <sz val="10"/>
        <color indexed="10"/>
        <rFont val="Arial"/>
        <family val="2"/>
      </rPr>
      <t>(254)</t>
    </r>
  </si>
  <si>
    <r>
      <t xml:space="preserve">7-3/4" </t>
    </r>
    <r>
      <rPr>
        <b/>
        <sz val="10"/>
        <color indexed="10"/>
        <rFont val="Arial"/>
        <family val="2"/>
      </rPr>
      <t>(197)</t>
    </r>
  </si>
  <si>
    <r>
      <t xml:space="preserve">9-3/4" </t>
    </r>
    <r>
      <rPr>
        <b/>
        <sz val="10"/>
        <color indexed="10"/>
        <rFont val="Arial"/>
        <family val="2"/>
      </rPr>
      <t>(248)</t>
    </r>
  </si>
  <si>
    <r>
      <t xml:space="preserve">8" </t>
    </r>
    <r>
      <rPr>
        <b/>
        <sz val="10"/>
        <color indexed="10"/>
        <rFont val="Arial"/>
        <family val="2"/>
      </rPr>
      <t>(203)</t>
    </r>
  </si>
  <si>
    <r>
      <t xml:space="preserve">9-1/2" </t>
    </r>
    <r>
      <rPr>
        <b/>
        <sz val="10"/>
        <color indexed="10"/>
        <rFont val="Arial"/>
        <family val="2"/>
      </rPr>
      <t>(241)</t>
    </r>
  </si>
  <si>
    <r>
      <t xml:space="preserve">8-1/4" </t>
    </r>
    <r>
      <rPr>
        <b/>
        <sz val="10"/>
        <color indexed="10"/>
        <rFont val="Arial"/>
        <family val="2"/>
      </rPr>
      <t>(210)</t>
    </r>
  </si>
  <si>
    <r>
      <t xml:space="preserve">9-1/4" </t>
    </r>
    <r>
      <rPr>
        <b/>
        <sz val="10"/>
        <color indexed="10"/>
        <rFont val="Arial"/>
        <family val="2"/>
      </rPr>
      <t>(235)</t>
    </r>
  </si>
  <si>
    <r>
      <t xml:space="preserve">8-1/2" </t>
    </r>
    <r>
      <rPr>
        <b/>
        <sz val="10"/>
        <color indexed="10"/>
        <rFont val="Arial"/>
        <family val="2"/>
      </rPr>
      <t>(216)</t>
    </r>
  </si>
  <si>
    <r>
      <t xml:space="preserve">9" </t>
    </r>
    <r>
      <rPr>
        <b/>
        <sz val="10"/>
        <color indexed="10"/>
        <rFont val="Arial"/>
        <family val="2"/>
      </rPr>
      <t>(229)</t>
    </r>
  </si>
  <si>
    <r>
      <t xml:space="preserve">8-3/4" </t>
    </r>
    <r>
      <rPr>
        <b/>
        <sz val="10"/>
        <color indexed="10"/>
        <rFont val="Arial"/>
        <family val="2"/>
      </rPr>
      <t>(222)</t>
    </r>
  </si>
  <si>
    <r>
      <t xml:space="preserve">  </t>
    </r>
    <r>
      <rPr>
        <b/>
        <sz val="10"/>
        <rFont val="Arial"/>
        <family val="2"/>
      </rPr>
      <t xml:space="preserve"> from the leading edge of the tread. </t>
    </r>
  </si>
  <si>
    <r>
      <t xml:space="preserve">6. Vertical clearance above any stair to an overhead obstruction shall be at least </t>
    </r>
    <r>
      <rPr>
        <b/>
        <sz val="10"/>
        <color indexed="12"/>
        <rFont val="Arial"/>
        <family val="2"/>
      </rPr>
      <t>7 FEET</t>
    </r>
    <r>
      <rPr>
        <b/>
        <sz val="10"/>
        <rFont val="Arial"/>
        <family val="2"/>
      </rPr>
      <t xml:space="preserve"> </t>
    </r>
    <r>
      <rPr>
        <b/>
        <sz val="10"/>
        <color indexed="10"/>
        <rFont val="Arial"/>
        <family val="2"/>
      </rPr>
      <t>(2134mm)</t>
    </r>
    <r>
      <rPr>
        <b/>
        <sz val="10"/>
        <rFont val="Arial"/>
        <family val="2"/>
      </rPr>
      <t xml:space="preserve"> measured</t>
    </r>
  </si>
  <si>
    <r>
      <t xml:space="preserve">6-3/4" </t>
    </r>
    <r>
      <rPr>
        <b/>
        <sz val="10"/>
        <color indexed="10"/>
        <rFont val="Arial"/>
        <family val="2"/>
      </rPr>
      <t>(172)</t>
    </r>
  </si>
  <si>
    <r>
      <t>Password :</t>
    </r>
    <r>
      <rPr>
        <sz val="10"/>
        <rFont val="Arial"/>
      </rPr>
      <t xml:space="preserve"> </t>
    </r>
    <r>
      <rPr>
        <b/>
        <sz val="8"/>
        <color indexed="10"/>
        <rFont val="Arial"/>
        <family val="2"/>
      </rPr>
      <t>ABB</t>
    </r>
  </si>
  <si>
    <t>Millimeters</t>
  </si>
  <si>
    <t>Key in Feet &amp; Inches Below</t>
  </si>
  <si>
    <t>Key in Millimeters Below</t>
  </si>
  <si>
    <t>FEET</t>
  </si>
  <si>
    <t>Brace Length w/ 2" Clr. (Metric)</t>
  </si>
  <si>
    <t>Brace Length w/ 50mm Clr. (Metric)</t>
  </si>
  <si>
    <r>
      <t>Note:</t>
    </r>
    <r>
      <rPr>
        <i/>
        <sz val="10"/>
        <rFont val="Arial"/>
        <family val="2"/>
      </rPr>
      <t>Use Client Standards if project required</t>
    </r>
  </si>
  <si>
    <t>1. The minimum design live load shall be a single concentrated</t>
  </si>
  <si>
    <t>2. The number and position of additional concentrated live-load units</t>
  </si>
  <si>
    <t xml:space="preserve">    shall be considered in the design.</t>
  </si>
  <si>
    <t xml:space="preserve">     of an elevated platform edge.</t>
  </si>
  <si>
    <t xml:space="preserve">     bars to platform handrail.</t>
  </si>
  <si>
    <t>5. The side access ladder is the preferred to the step through (Front) access style.</t>
  </si>
  <si>
    <t xml:space="preserve">     to be at bottom rung to landing.</t>
  </si>
  <si>
    <r>
      <t xml:space="preserve">     nearest permanent object on the climbing side of the ladder shall be </t>
    </r>
    <r>
      <rPr>
        <sz val="10"/>
        <color indexed="12"/>
        <rFont val="Arial"/>
        <family val="2"/>
      </rPr>
      <t>36 inches</t>
    </r>
    <r>
      <rPr>
        <sz val="10"/>
        <rFont val="Arial"/>
      </rPr>
      <t xml:space="preserve"> </t>
    </r>
    <r>
      <rPr>
        <sz val="10"/>
        <color indexed="10"/>
        <rFont val="Arial"/>
        <family val="2"/>
      </rPr>
      <t>(914mm)</t>
    </r>
  </si>
  <si>
    <r>
      <t xml:space="preserve">3.  All ladders </t>
    </r>
    <r>
      <rPr>
        <sz val="10"/>
        <color indexed="12"/>
        <rFont val="Arial"/>
        <family val="2"/>
      </rPr>
      <t>20 Fee</t>
    </r>
    <r>
      <rPr>
        <sz val="10"/>
        <rFont val="Arial"/>
      </rPr>
      <t xml:space="preserve">t </t>
    </r>
    <r>
      <rPr>
        <sz val="10"/>
        <color indexed="10"/>
        <rFont val="Arial"/>
        <family val="2"/>
      </rPr>
      <t>(6096mm)</t>
    </r>
    <r>
      <rPr>
        <sz val="10"/>
        <rFont val="Arial"/>
      </rPr>
      <t xml:space="preserve"> or more in length shall be equipped with safety cage.</t>
    </r>
  </si>
  <si>
    <t xml:space="preserve">    or floor level shall be equipped with drop bar or safety gate attached as follows:</t>
  </si>
  <si>
    <r>
      <t xml:space="preserve">      landing shall not be more than </t>
    </r>
    <r>
      <rPr>
        <sz val="10"/>
        <color indexed="12"/>
        <rFont val="Arial"/>
        <family val="2"/>
      </rPr>
      <t>12 inches</t>
    </r>
    <r>
      <rPr>
        <sz val="10"/>
        <rFont val="Arial"/>
      </rPr>
      <t xml:space="preserve"> </t>
    </r>
    <r>
      <rPr>
        <sz val="10"/>
        <color indexed="10"/>
        <rFont val="Arial"/>
        <family val="2"/>
      </rPr>
      <t>(305mm)</t>
    </r>
    <r>
      <rPr>
        <sz val="10"/>
        <rFont val="Arial"/>
      </rPr>
      <t xml:space="preserve"> or less than </t>
    </r>
    <r>
      <rPr>
        <sz val="10"/>
        <color indexed="12"/>
        <rFont val="Arial"/>
        <family val="2"/>
      </rPr>
      <t>2-1/2 Inches</t>
    </r>
    <r>
      <rPr>
        <sz val="10"/>
        <rFont val="Arial"/>
      </rPr>
      <t xml:space="preserve"> </t>
    </r>
    <r>
      <rPr>
        <sz val="10"/>
        <color indexed="10"/>
        <rFont val="Arial"/>
        <family val="2"/>
      </rPr>
      <t>(64mm)</t>
    </r>
  </si>
  <si>
    <t>Fixed Ladder Design Notes:</t>
  </si>
  <si>
    <t xml:space="preserve">     centerline of rungs of the ladder. Vertical bar spacing shall be located  at a maximum</t>
  </si>
  <si>
    <r>
      <t xml:space="preserve">19. Cages shall not extend less than </t>
    </r>
    <r>
      <rPr>
        <sz val="10"/>
        <color indexed="12"/>
        <rFont val="Arial"/>
        <family val="2"/>
      </rPr>
      <t>27"</t>
    </r>
    <r>
      <rPr>
        <sz val="10"/>
        <rFont val="Arial"/>
      </rPr>
      <t xml:space="preserve"> </t>
    </r>
    <r>
      <rPr>
        <sz val="10"/>
        <color indexed="10"/>
        <rFont val="Arial"/>
        <family val="2"/>
      </rPr>
      <t>(686mm)</t>
    </r>
    <r>
      <rPr>
        <sz val="10"/>
        <rFont val="Arial"/>
      </rPr>
      <t xml:space="preserve"> nor more than </t>
    </r>
    <r>
      <rPr>
        <sz val="10"/>
        <color indexed="12"/>
        <rFont val="Arial"/>
        <family val="2"/>
      </rPr>
      <t>28"</t>
    </r>
    <r>
      <rPr>
        <sz val="10"/>
        <rFont val="Arial"/>
      </rPr>
      <t xml:space="preserve"> </t>
    </r>
    <r>
      <rPr>
        <sz val="10"/>
        <color indexed="10"/>
        <rFont val="Arial"/>
        <family val="2"/>
      </rPr>
      <t>(711mm)</t>
    </r>
    <r>
      <rPr>
        <sz val="10"/>
        <rFont val="Arial"/>
      </rPr>
      <t xml:space="preserve"> from the</t>
    </r>
  </si>
  <si>
    <r>
      <t xml:space="preserve">     spacing of 40 degrees around the circumference of the cage - aprox. </t>
    </r>
    <r>
      <rPr>
        <sz val="10"/>
        <color indexed="12"/>
        <rFont val="Arial"/>
        <family val="2"/>
      </rPr>
      <t>9-1/2"</t>
    </r>
    <r>
      <rPr>
        <sz val="10"/>
        <color indexed="10"/>
        <rFont val="Arial"/>
        <family val="2"/>
      </rPr>
      <t xml:space="preserve"> (241mm)</t>
    </r>
    <r>
      <rPr>
        <sz val="10"/>
        <rFont val="Arial"/>
      </rPr>
      <t xml:space="preserve"> c/c</t>
    </r>
  </si>
  <si>
    <t xml:space="preserve">     shall be uniformed throughout the length of the ladder. Any Spacing adjustments</t>
  </si>
  <si>
    <t xml:space="preserve">        * Side access ladders opens at ladder side with safety gate.</t>
  </si>
  <si>
    <t xml:space="preserve">        * Side access ladders hinged at ladder side with drop bar.</t>
  </si>
  <si>
    <t xml:space="preserve">     center line of the ladder in the climbing space.</t>
  </si>
  <si>
    <r>
      <t xml:space="preserve">     load of </t>
    </r>
    <r>
      <rPr>
        <sz val="10"/>
        <color indexed="12"/>
        <rFont val="Arial"/>
        <family val="2"/>
      </rPr>
      <t>200</t>
    </r>
    <r>
      <rPr>
        <sz val="10"/>
        <rFont val="Arial"/>
      </rPr>
      <t xml:space="preserve"> pounds </t>
    </r>
    <r>
      <rPr>
        <sz val="10"/>
        <color indexed="10"/>
        <rFont val="Arial"/>
        <family val="2"/>
      </rPr>
      <t>(91Kg)</t>
    </r>
    <r>
      <rPr>
        <sz val="10"/>
        <rFont val="Arial"/>
      </rPr>
      <t>.</t>
    </r>
  </si>
  <si>
    <r>
      <t xml:space="preserve">    of </t>
    </r>
    <r>
      <rPr>
        <sz val="10"/>
        <color indexed="12"/>
        <rFont val="Arial"/>
        <family val="2"/>
      </rPr>
      <t>200</t>
    </r>
    <r>
      <rPr>
        <sz val="10"/>
        <rFont val="Arial"/>
      </rPr>
      <t xml:space="preserve"> pounds </t>
    </r>
    <r>
      <rPr>
        <sz val="10"/>
        <color indexed="10"/>
        <rFont val="Arial"/>
        <family val="2"/>
      </rPr>
      <t>(91 Kg)</t>
    </r>
    <r>
      <rPr>
        <sz val="10"/>
        <rFont val="Arial"/>
      </rPr>
      <t xml:space="preserve"> each as determined from anticipated usage of ladder</t>
    </r>
  </si>
  <si>
    <r>
      <t xml:space="preserve">     Cages shall also be required where the ladder face is within </t>
    </r>
    <r>
      <rPr>
        <sz val="10"/>
        <color indexed="12"/>
        <rFont val="Arial"/>
        <family val="2"/>
      </rPr>
      <t>4'-0"</t>
    </r>
    <r>
      <rPr>
        <sz val="10"/>
        <rFont val="Arial"/>
      </rPr>
      <t xml:space="preserve"> </t>
    </r>
    <r>
      <rPr>
        <sz val="10"/>
        <color indexed="10"/>
        <rFont val="Arial"/>
        <family val="2"/>
      </rPr>
      <t>(1219mm)</t>
    </r>
  </si>
  <si>
    <r>
      <t xml:space="preserve">4.  Where ladder face is within </t>
    </r>
    <r>
      <rPr>
        <sz val="10"/>
        <color indexed="12"/>
        <rFont val="Arial"/>
        <family val="2"/>
      </rPr>
      <t>4'-0"</t>
    </r>
    <r>
      <rPr>
        <sz val="10"/>
        <rFont val="Arial"/>
      </rPr>
      <t xml:space="preserve"> </t>
    </r>
    <r>
      <rPr>
        <sz val="10"/>
        <color indexed="10"/>
        <rFont val="Arial"/>
        <family val="2"/>
      </rPr>
      <t>(1219mm)</t>
    </r>
    <r>
      <rPr>
        <sz val="10"/>
        <rFont val="Arial"/>
      </rPr>
      <t xml:space="preserve"> of platform edge extend vertical cage</t>
    </r>
  </si>
  <si>
    <r>
      <t xml:space="preserve">6. All fixed ladders serving elevations </t>
    </r>
    <r>
      <rPr>
        <sz val="10"/>
        <color indexed="12"/>
        <rFont val="Arial"/>
        <family val="2"/>
      </rPr>
      <t>2'-6"</t>
    </r>
    <r>
      <rPr>
        <sz val="10"/>
        <rFont val="Arial"/>
      </rPr>
      <t xml:space="preserve"> </t>
    </r>
    <r>
      <rPr>
        <sz val="10"/>
        <color indexed="10"/>
        <rFont val="Arial"/>
        <family val="2"/>
      </rPr>
      <t>(762mm)</t>
    </r>
    <r>
      <rPr>
        <sz val="10"/>
        <rFont val="Arial"/>
      </rPr>
      <t xml:space="preserve"> or more above ground, platform</t>
    </r>
  </si>
  <si>
    <r>
      <t xml:space="preserve">7.  The distance between rungs shall not exceed </t>
    </r>
    <r>
      <rPr>
        <sz val="10"/>
        <color indexed="12"/>
        <rFont val="Arial"/>
        <family val="2"/>
      </rPr>
      <t>12 inches</t>
    </r>
    <r>
      <rPr>
        <sz val="10"/>
        <rFont val="Arial"/>
      </rPr>
      <t xml:space="preserve"> </t>
    </r>
    <r>
      <rPr>
        <sz val="10"/>
        <color indexed="10"/>
        <rFont val="Arial"/>
        <family val="2"/>
      </rPr>
      <t>(305mm)</t>
    </r>
    <r>
      <rPr>
        <sz val="10"/>
        <rFont val="Arial"/>
      </rPr>
      <t xml:space="preserve"> and shall</t>
    </r>
  </si>
  <si>
    <r>
      <t xml:space="preserve">8.  The maximum distance between landings shall not exceed </t>
    </r>
    <r>
      <rPr>
        <sz val="10"/>
        <color indexed="12"/>
        <rFont val="Arial"/>
        <family val="2"/>
      </rPr>
      <t>30'-0"</t>
    </r>
    <r>
      <rPr>
        <sz val="10"/>
        <rFont val="Arial"/>
      </rPr>
      <t xml:space="preserve"> </t>
    </r>
    <r>
      <rPr>
        <sz val="10"/>
        <color indexed="10"/>
        <rFont val="Arial"/>
        <family val="2"/>
      </rPr>
      <t>(9144mm).</t>
    </r>
  </si>
  <si>
    <r>
      <t xml:space="preserve">9.  All rungs shall have a minimum diameter of </t>
    </r>
    <r>
      <rPr>
        <sz val="10"/>
        <color indexed="12"/>
        <rFont val="Arial"/>
        <family val="2"/>
      </rPr>
      <t>3/4"</t>
    </r>
    <r>
      <rPr>
        <sz val="10"/>
        <rFont val="Arial"/>
      </rPr>
      <t xml:space="preserve"> </t>
    </r>
    <r>
      <rPr>
        <sz val="10"/>
        <color indexed="10"/>
        <rFont val="Arial"/>
        <family val="2"/>
      </rPr>
      <t xml:space="preserve">(20mm) </t>
    </r>
    <r>
      <rPr>
        <sz val="10"/>
        <rFont val="Arial"/>
        <family val="2"/>
      </rPr>
      <t>except ladders formed</t>
    </r>
  </si>
  <si>
    <t>150# RF PIPING DIMENSIONS</t>
  </si>
  <si>
    <t>SIZE</t>
  </si>
  <si>
    <t>PIPE O.D.</t>
  </si>
  <si>
    <t>WN FLG</t>
  </si>
  <si>
    <t>OD FLG</t>
  </si>
  <si>
    <t>45 ELL</t>
  </si>
  <si>
    <t>TEE</t>
  </si>
  <si>
    <t>REDUCER</t>
  </si>
  <si>
    <t>CAP</t>
  </si>
  <si>
    <t>LR ELL &amp; WN FLG</t>
  </si>
  <si>
    <t>TEE &amp; WN FLG</t>
  </si>
  <si>
    <t>45 ELL &amp; WN FLG</t>
  </si>
  <si>
    <t>GATE VALVE</t>
  </si>
  <si>
    <t>CHECK VALVE</t>
  </si>
  <si>
    <t>GLOBE VALVE</t>
  </si>
  <si>
    <t>BUTTERFLY VALVE (1)</t>
  </si>
  <si>
    <t>WAFER CHECK VALVE (2)</t>
  </si>
  <si>
    <t>BALL VALVE (3)</t>
  </si>
  <si>
    <t>NO. BOLTS</t>
  </si>
  <si>
    <t>STUD BOLT SIZE</t>
  </si>
  <si>
    <t>FULL PORT</t>
  </si>
  <si>
    <t>RED. PORT</t>
  </si>
  <si>
    <t>VALVE TO HW (FB)</t>
  </si>
  <si>
    <t>HW OFFSET (FB)</t>
  </si>
  <si>
    <t>HW PROJ (FB)</t>
  </si>
  <si>
    <t>HW OD (FB)</t>
  </si>
  <si>
    <t>LEVER LENGTH (FB)</t>
  </si>
  <si>
    <t>DIAMETER</t>
  </si>
  <si>
    <t>LENGTH (4)</t>
  </si>
  <si>
    <t>F</t>
  </si>
  <si>
    <t>J</t>
  </si>
  <si>
    <t>L</t>
  </si>
  <si>
    <t>N</t>
  </si>
  <si>
    <t>P</t>
  </si>
  <si>
    <t>Q</t>
  </si>
  <si>
    <t>S</t>
  </si>
  <si>
    <t>T</t>
  </si>
  <si>
    <t>W</t>
  </si>
  <si>
    <t>X</t>
  </si>
  <si>
    <t>Y</t>
  </si>
  <si>
    <t>Z</t>
  </si>
  <si>
    <t>7/8</t>
  </si>
  <si>
    <t>1 1/2"</t>
  </si>
  <si>
    <t>2 1/2"</t>
  </si>
  <si>
    <t>(1) Posi-seal Butterfly Valves</t>
  </si>
  <si>
    <t>CALC. BOX</t>
  </si>
  <si>
    <t>(2) Crane Duo-Chek II</t>
  </si>
  <si>
    <t>(3) TK Ball Valves</t>
  </si>
  <si>
    <t>(4) Length does not include crowns</t>
  </si>
  <si>
    <t>300# RF PIPING DIMENSIONS</t>
  </si>
  <si>
    <t>WAFER BUTTERFLY VALVE (1)</t>
  </si>
  <si>
    <t>600# RF PIPING DIMENSIONS</t>
  </si>
  <si>
    <t>VALVE TO HW</t>
  </si>
  <si>
    <t>HW OFFSET</t>
  </si>
  <si>
    <t>HW PROJ</t>
  </si>
  <si>
    <t>HW OD</t>
  </si>
  <si>
    <t>LEVER LENGTH</t>
  </si>
  <si>
    <t>900# RF PIPING DIMENSIONS</t>
  </si>
  <si>
    <t>LEVER LENGTH FB)</t>
  </si>
  <si>
    <t>15 1//8</t>
  </si>
  <si>
    <t>900# RTJ PIPING DIMENSIONS</t>
  </si>
  <si>
    <t>RING INFO.</t>
  </si>
  <si>
    <t>RING NO.</t>
  </si>
  <si>
    <t>GAP</t>
  </si>
  <si>
    <t>R-16</t>
  </si>
  <si>
    <t>R-20</t>
  </si>
  <si>
    <t>R-24</t>
  </si>
  <si>
    <t>R-27</t>
  </si>
  <si>
    <t>R-31</t>
  </si>
  <si>
    <t>R-37</t>
  </si>
  <si>
    <t>R-45</t>
  </si>
  <si>
    <t>R-49</t>
  </si>
  <si>
    <t>R-53</t>
  </si>
  <si>
    <t>R-57</t>
  </si>
  <si>
    <t>R-62</t>
  </si>
  <si>
    <t>R-66</t>
  </si>
  <si>
    <t>R-70</t>
  </si>
  <si>
    <t>R-74</t>
  </si>
  <si>
    <t>R-78</t>
  </si>
  <si>
    <t>(1)</t>
  </si>
  <si>
    <t>(2)</t>
  </si>
  <si>
    <t>1500# RTJ PIPING DIMENSIONS</t>
  </si>
  <si>
    <t>R-35</t>
  </si>
  <si>
    <t>R-39</t>
  </si>
  <si>
    <t>R-46</t>
  </si>
  <si>
    <t>R-50</t>
  </si>
  <si>
    <t>R-54</t>
  </si>
  <si>
    <t>R-58</t>
  </si>
  <si>
    <t>R-63</t>
  </si>
  <si>
    <t>R-67</t>
  </si>
  <si>
    <t>R-71</t>
  </si>
  <si>
    <t>R-75</t>
  </si>
  <si>
    <t>R-79</t>
  </si>
  <si>
    <t>1500# RF PIPING DIMENSIONS</t>
  </si>
  <si>
    <t>32 /34</t>
  </si>
  <si>
    <t>SCREWED FITTINGS</t>
  </si>
  <si>
    <t>3000#</t>
  </si>
  <si>
    <t>H *</t>
  </si>
  <si>
    <t>J *</t>
  </si>
  <si>
    <t>K *</t>
  </si>
  <si>
    <t>6000#</t>
  </si>
  <si>
    <t>*</t>
  </si>
  <si>
    <t>Thread engagement typical for H, J &amp; K</t>
  </si>
  <si>
    <t>WELDOLET</t>
  </si>
  <si>
    <t>CENTER OF RUN TO FACE OF FITTING</t>
  </si>
  <si>
    <t>RUN SIZE</t>
  </si>
  <si>
    <t>WT. OR SCH.</t>
  </si>
  <si>
    <t>OUTLET SIZE</t>
  </si>
  <si>
    <t>STD</t>
  </si>
  <si>
    <t>XS</t>
  </si>
  <si>
    <t>160&amp;XXS</t>
  </si>
  <si>
    <t>USE HEVY WALL WELDOLET</t>
  </si>
  <si>
    <r>
      <t xml:space="preserve">    </t>
    </r>
    <r>
      <rPr>
        <sz val="10"/>
        <rFont val="Arial"/>
        <family val="2"/>
      </rPr>
      <t xml:space="preserve">by individual metal rungs imbedded in concrete use a </t>
    </r>
    <r>
      <rPr>
        <sz val="10"/>
        <color indexed="12"/>
        <rFont val="Arial"/>
        <family val="2"/>
      </rPr>
      <t>1"</t>
    </r>
    <r>
      <rPr>
        <sz val="10"/>
        <color indexed="10"/>
        <rFont val="Arial"/>
        <family val="2"/>
      </rPr>
      <t>(25mm)</t>
    </r>
    <r>
      <rPr>
        <sz val="10"/>
        <rFont val="Arial"/>
        <family val="2"/>
      </rPr>
      <t xml:space="preserve"> diameter bar minimum.</t>
    </r>
  </si>
  <si>
    <r>
      <t xml:space="preserve">     for a pitch of 76 degrees and </t>
    </r>
    <r>
      <rPr>
        <sz val="10"/>
        <color indexed="12"/>
        <rFont val="Arial"/>
        <family val="2"/>
      </rPr>
      <t>30 inches</t>
    </r>
    <r>
      <rPr>
        <sz val="10"/>
        <rFont val="Arial"/>
      </rPr>
      <t xml:space="preserve"> </t>
    </r>
    <r>
      <rPr>
        <sz val="10"/>
        <color indexed="10"/>
        <rFont val="Arial"/>
        <family val="2"/>
      </rPr>
      <t>(762mm)</t>
    </r>
    <r>
      <rPr>
        <sz val="10"/>
        <rFont val="Arial"/>
      </rPr>
      <t xml:space="preserve"> for a pitch of 90 degrees.</t>
    </r>
  </si>
  <si>
    <r>
      <t xml:space="preserve">      of the ladder shall not be less than </t>
    </r>
    <r>
      <rPr>
        <sz val="10"/>
        <color indexed="12"/>
        <rFont val="Arial"/>
        <family val="2"/>
      </rPr>
      <t>7 inches</t>
    </r>
    <r>
      <rPr>
        <sz val="10"/>
        <rFont val="Arial"/>
      </rPr>
      <t xml:space="preserve"> </t>
    </r>
    <r>
      <rPr>
        <sz val="10"/>
        <color indexed="10"/>
        <rFont val="Arial"/>
        <family val="2"/>
      </rPr>
      <t xml:space="preserve">(178mm) </t>
    </r>
    <r>
      <rPr>
        <sz val="10"/>
        <rFont val="Arial"/>
      </rPr>
      <t>except that when unavoidable</t>
    </r>
  </si>
  <si>
    <r>
      <t>2-1/2 inches</t>
    </r>
    <r>
      <rPr>
        <sz val="10"/>
        <rFont val="Arial"/>
      </rPr>
      <t xml:space="preserve"> </t>
    </r>
    <r>
      <rPr>
        <sz val="10"/>
        <color indexed="10"/>
        <rFont val="Arial"/>
        <family val="2"/>
      </rPr>
      <t>(64mm)</t>
    </r>
  </si>
  <si>
    <r>
      <t xml:space="preserve">      </t>
    </r>
    <r>
      <rPr>
        <sz val="10"/>
        <rFont val="Arial"/>
      </rPr>
      <t>for front access ladders.</t>
    </r>
  </si>
  <si>
    <t xml:space="preserve">      that, where no cage or ladder safety device is provided, landing platforms shall be</t>
  </si>
  <si>
    <r>
      <t xml:space="preserve">      provided for each </t>
    </r>
    <r>
      <rPr>
        <sz val="10"/>
        <color indexed="12"/>
        <rFont val="Arial"/>
        <family val="2"/>
      </rPr>
      <t>20 Feet</t>
    </r>
    <r>
      <rPr>
        <sz val="10"/>
        <rFont val="Arial"/>
      </rPr>
      <t xml:space="preserve"> </t>
    </r>
    <r>
      <rPr>
        <sz val="10"/>
        <color indexed="10"/>
        <rFont val="Arial"/>
        <family val="2"/>
      </rPr>
      <t>(6096mm)</t>
    </r>
    <r>
      <rPr>
        <sz val="10"/>
        <rFont val="Arial"/>
      </rPr>
      <t xml:space="preserve"> of height or fraction thereof.</t>
    </r>
  </si>
  <si>
    <r>
      <t xml:space="preserve">      platforms shall be provided for each </t>
    </r>
    <r>
      <rPr>
        <sz val="10"/>
        <color indexed="12"/>
        <rFont val="Arial"/>
        <family val="2"/>
      </rPr>
      <t>30 Feet</t>
    </r>
    <r>
      <rPr>
        <sz val="10"/>
        <rFont val="Arial"/>
      </rPr>
      <t xml:space="preserve"> </t>
    </r>
    <r>
      <rPr>
        <sz val="10"/>
        <color indexed="10"/>
        <rFont val="Arial"/>
        <family val="2"/>
      </rPr>
      <t>(9144mm)</t>
    </r>
    <r>
      <rPr>
        <sz val="10"/>
        <rFont val="Arial"/>
      </rPr>
      <t xml:space="preserve"> or fraction thereof, except</t>
    </r>
  </si>
  <si>
    <t xml:space="preserve">      unless other acceptable protection is provided.</t>
  </si>
  <si>
    <r>
      <t xml:space="preserve">      nor more than </t>
    </r>
    <r>
      <rPr>
        <sz val="10"/>
        <color indexed="12"/>
        <rFont val="Arial"/>
        <family val="2"/>
      </rPr>
      <t xml:space="preserve">8 Feet </t>
    </r>
    <r>
      <rPr>
        <sz val="10"/>
        <color indexed="10"/>
        <rFont val="Arial"/>
        <family val="2"/>
      </rPr>
      <t xml:space="preserve">(2438mm) </t>
    </r>
    <r>
      <rPr>
        <sz val="10"/>
        <rFont val="Arial"/>
      </rPr>
      <t>above the base of the ladder or landing.</t>
    </r>
  </si>
  <si>
    <t xml:space="preserve">11. On fixed ladders, the perpendicular distance from the center line of rungs to the </t>
  </si>
  <si>
    <r>
      <t xml:space="preserve">12. A clear width of at least </t>
    </r>
    <r>
      <rPr>
        <sz val="10"/>
        <color indexed="12"/>
        <rFont val="Arial"/>
        <family val="2"/>
      </rPr>
      <t>15 inches</t>
    </r>
    <r>
      <rPr>
        <sz val="10"/>
        <rFont val="Arial"/>
      </rPr>
      <t xml:space="preserve"> </t>
    </r>
    <r>
      <rPr>
        <sz val="10"/>
        <color indexed="10"/>
        <rFont val="Arial"/>
        <family val="2"/>
      </rPr>
      <t>(381mm)</t>
    </r>
    <r>
      <rPr>
        <sz val="10"/>
        <rFont val="Arial"/>
      </rPr>
      <t xml:space="preserve"> shall be provided each way from the</t>
    </r>
  </si>
  <si>
    <t>13. The distance from the center line of rungs to the nearest permanent object in back</t>
  </si>
  <si>
    <t>14. The step-across distance from the nearest edge of ladder to the nearest edge of</t>
  </si>
  <si>
    <r>
      <t xml:space="preserve">17.  Bottom Cages shall extend down the ladder to a point not less than </t>
    </r>
    <r>
      <rPr>
        <sz val="10"/>
        <color indexed="12"/>
        <rFont val="Arial"/>
        <family val="2"/>
      </rPr>
      <t>7 Feet</t>
    </r>
    <r>
      <rPr>
        <sz val="10"/>
        <rFont val="Arial"/>
      </rPr>
      <t xml:space="preserve"> </t>
    </r>
    <r>
      <rPr>
        <sz val="10"/>
        <color indexed="10"/>
        <rFont val="Arial"/>
        <family val="2"/>
      </rPr>
      <t>(2134mm)</t>
    </r>
  </si>
  <si>
    <r>
      <t xml:space="preserve">10. The minimum clear length of rungs shall be </t>
    </r>
    <r>
      <rPr>
        <sz val="10"/>
        <color indexed="12"/>
        <rFont val="Arial"/>
        <family val="2"/>
      </rPr>
      <t>16 inches</t>
    </r>
    <r>
      <rPr>
        <sz val="10"/>
        <rFont val="Arial"/>
      </rPr>
      <t xml:space="preserve"> </t>
    </r>
    <r>
      <rPr>
        <sz val="10"/>
        <color indexed="10"/>
        <rFont val="Arial"/>
        <family val="2"/>
      </rPr>
      <t>(406mm).</t>
    </r>
  </si>
  <si>
    <r>
      <t xml:space="preserve">15.  When ladders are used to ascend to heights exceeding </t>
    </r>
    <r>
      <rPr>
        <sz val="10"/>
        <color indexed="12"/>
        <rFont val="Arial"/>
        <family val="2"/>
      </rPr>
      <t>20 Feet</t>
    </r>
    <r>
      <rPr>
        <sz val="10"/>
        <rFont val="Arial"/>
      </rPr>
      <t xml:space="preserve"> </t>
    </r>
    <r>
      <rPr>
        <sz val="10"/>
        <color indexed="10"/>
        <rFont val="Arial"/>
        <family val="2"/>
      </rPr>
      <t>(6096mm</t>
    </r>
    <r>
      <rPr>
        <sz val="10"/>
        <rFont val="Arial"/>
      </rPr>
      <t>) landings</t>
    </r>
  </si>
  <si>
    <t>18. Set top of rung flush with top of landing walking surface</t>
  </si>
  <si>
    <r>
      <t xml:space="preserve">The addition of riser plus tread equals </t>
    </r>
    <r>
      <rPr>
        <b/>
        <i/>
        <sz val="10"/>
        <color indexed="12"/>
        <rFont val="Arial"/>
        <family val="2"/>
      </rPr>
      <t>17-1/2"</t>
    </r>
    <r>
      <rPr>
        <i/>
        <sz val="10"/>
        <rFont val="Arial"/>
        <family val="2"/>
      </rPr>
      <t xml:space="preserve"> </t>
    </r>
    <r>
      <rPr>
        <b/>
        <i/>
        <sz val="10"/>
        <color indexed="10"/>
        <rFont val="Arial"/>
        <family val="2"/>
      </rPr>
      <t>(444mm)</t>
    </r>
  </si>
  <si>
    <r>
      <t xml:space="preserve">  rise/tread combination are not limited to those given in the table below. </t>
    </r>
    <r>
      <rPr>
        <b/>
        <i/>
        <u/>
        <sz val="10"/>
        <color indexed="10"/>
        <rFont val="Arial"/>
        <family val="2"/>
      </rPr>
      <t>Odd tread spacing should always occur at the bottom step</t>
    </r>
  </si>
  <si>
    <r>
      <t>6'-0"</t>
    </r>
    <r>
      <rPr>
        <b/>
        <sz val="10"/>
        <rFont val="Arial"/>
        <family val="2"/>
      </rPr>
      <t xml:space="preserve"> Max. C/C Brkt. On O.S. Rad./Edge</t>
    </r>
  </si>
  <si>
    <r>
      <t>2'-0"</t>
    </r>
    <r>
      <rPr>
        <b/>
        <sz val="10"/>
        <rFont val="Arial"/>
        <family val="2"/>
      </rPr>
      <t xml:space="preserve"> Max. Cantilever on O.S. Rad./Edge</t>
    </r>
  </si>
  <si>
    <r>
      <t>1'-5"</t>
    </r>
    <r>
      <rPr>
        <b/>
        <sz val="10"/>
        <rFont val="Arial"/>
        <family val="2"/>
      </rPr>
      <t xml:space="preserve"> CL Ladder to Platform on O.S. Rad.</t>
    </r>
  </si>
  <si>
    <t>O.S. Radius of Vessel plus Insulation (Key In)</t>
  </si>
  <si>
    <t>Platform Width (Key In)</t>
  </si>
  <si>
    <t>Clearance between vessel &amp; platform - 3" min-4" Max. (Key in)</t>
  </si>
  <si>
    <t>1. Fixed stairs stringer size Should be determined as follows (unless specified by engineer) :</t>
  </si>
  <si>
    <t>Angle Degrees</t>
  </si>
  <si>
    <t>Length WP to WP</t>
  </si>
  <si>
    <t>Beam</t>
  </si>
  <si>
    <t>Size</t>
  </si>
  <si>
    <t>Depth</t>
  </si>
  <si>
    <t>Flange</t>
  </si>
  <si>
    <t>Bolt Gage</t>
  </si>
  <si>
    <t>W36x300</t>
  </si>
  <si>
    <t xml:space="preserve"> </t>
  </si>
  <si>
    <t>W36x280</t>
  </si>
  <si>
    <t>W36x260</t>
  </si>
  <si>
    <t>W36x245</t>
  </si>
  <si>
    <t>W36x230</t>
  </si>
  <si>
    <t>d</t>
  </si>
  <si>
    <t>Web Thk.</t>
  </si>
  <si>
    <t>tw</t>
  </si>
  <si>
    <t>Flg. Width</t>
  </si>
  <si>
    <t>Flg. Thk.</t>
  </si>
  <si>
    <t>k</t>
  </si>
  <si>
    <t>k1</t>
  </si>
  <si>
    <t>W36x210</t>
  </si>
  <si>
    <t>W36x194</t>
  </si>
  <si>
    <t>W36x182</t>
  </si>
  <si>
    <t>W36x170</t>
  </si>
  <si>
    <t>W36x160</t>
  </si>
  <si>
    <t>W36x150</t>
  </si>
  <si>
    <t>W36x135</t>
  </si>
  <si>
    <t>W33x241</t>
  </si>
  <si>
    <t>W33x221</t>
  </si>
  <si>
    <t>W33x201</t>
  </si>
  <si>
    <t>W33x152</t>
  </si>
  <si>
    <t>W33x141</t>
  </si>
  <si>
    <t>W33x130</t>
  </si>
  <si>
    <t>W33x118</t>
  </si>
  <si>
    <t>W30x211</t>
  </si>
  <si>
    <t>W30x191</t>
  </si>
  <si>
    <t>W30x173</t>
  </si>
  <si>
    <t>W30x132</t>
  </si>
  <si>
    <t>W30x124</t>
  </si>
  <si>
    <t>W30x116</t>
  </si>
  <si>
    <t>W30x108</t>
  </si>
  <si>
    <t>W30x99</t>
  </si>
  <si>
    <t>W27x178</t>
  </si>
  <si>
    <t>W27x161</t>
  </si>
  <si>
    <t>W27x146</t>
  </si>
  <si>
    <t>W27x114</t>
  </si>
  <si>
    <t>W27x102</t>
  </si>
  <si>
    <t>W27x94</t>
  </si>
  <si>
    <t>W27x84</t>
  </si>
  <si>
    <t>W24x162</t>
  </si>
  <si>
    <t>tf</t>
  </si>
  <si>
    <t>W24x146</t>
  </si>
  <si>
    <t>W24x131</t>
  </si>
  <si>
    <t>W24x117</t>
  </si>
  <si>
    <t>W24x104</t>
  </si>
  <si>
    <t>W24x94</t>
  </si>
  <si>
    <t>W24x84</t>
  </si>
  <si>
    <t>W24x76</t>
  </si>
  <si>
    <t>W24x68</t>
  </si>
  <si>
    <t>W24x62</t>
  </si>
  <si>
    <t>W24x55</t>
  </si>
  <si>
    <t xml:space="preserve"> W21x147</t>
  </si>
  <si>
    <t>W21x132</t>
  </si>
  <si>
    <t>W21x122</t>
  </si>
  <si>
    <t>W21x111</t>
  </si>
  <si>
    <t>W21x101</t>
  </si>
  <si>
    <t>W21x93</t>
  </si>
  <si>
    <t>W21x73</t>
  </si>
  <si>
    <t>W21x68</t>
  </si>
  <si>
    <t>W21x62</t>
  </si>
  <si>
    <t>W21x57</t>
  </si>
  <si>
    <t>W21x50</t>
  </si>
  <si>
    <t>W21x44</t>
  </si>
  <si>
    <t>W21x83</t>
  </si>
  <si>
    <t>W18x119</t>
  </si>
  <si>
    <t>W18x106</t>
  </si>
  <si>
    <t>W18x97</t>
  </si>
  <si>
    <t>W18x86</t>
  </si>
  <si>
    <t>W18x76</t>
  </si>
  <si>
    <t>W18x71</t>
  </si>
  <si>
    <t>W18x65</t>
  </si>
  <si>
    <t>W18x60</t>
  </si>
  <si>
    <t>W18x55</t>
  </si>
  <si>
    <t>W18x50</t>
  </si>
  <si>
    <t>W18x46</t>
  </si>
  <si>
    <t>W18x40</t>
  </si>
  <si>
    <t>W18x35</t>
  </si>
  <si>
    <t>W16x100</t>
  </si>
  <si>
    <t>W16x89</t>
  </si>
  <si>
    <t>W16x77</t>
  </si>
  <si>
    <t>W16x67</t>
  </si>
  <si>
    <t>W16x57</t>
  </si>
  <si>
    <t>W16x50</t>
  </si>
  <si>
    <t>W16x45</t>
  </si>
  <si>
    <t>W16x40</t>
  </si>
  <si>
    <t>W16x36</t>
  </si>
  <si>
    <t>W16x31</t>
  </si>
  <si>
    <t>W16x26</t>
  </si>
  <si>
    <t>W14x730</t>
  </si>
  <si>
    <t>W14x665</t>
  </si>
  <si>
    <t>W14x605</t>
  </si>
  <si>
    <t>W14x550</t>
  </si>
  <si>
    <t>W14x500</t>
  </si>
  <si>
    <t>W14x455</t>
  </si>
  <si>
    <t>W14x426</t>
  </si>
  <si>
    <t>W14x398</t>
  </si>
  <si>
    <t>W14x370</t>
  </si>
  <si>
    <t>W14x342</t>
  </si>
  <si>
    <t>W14x311</t>
  </si>
  <si>
    <t>W14x283</t>
  </si>
  <si>
    <t>W14x257</t>
  </si>
  <si>
    <t>W14x233</t>
  </si>
  <si>
    <t>W14x211</t>
  </si>
  <si>
    <t>W14x193</t>
  </si>
  <si>
    <t>W14x176</t>
  </si>
  <si>
    <t>W14x159</t>
  </si>
  <si>
    <t>W14x145</t>
  </si>
  <si>
    <t>na</t>
  </si>
  <si>
    <t>W14x132</t>
  </si>
  <si>
    <t>W14x120</t>
  </si>
  <si>
    <t>W14x109</t>
  </si>
  <si>
    <t>W14x99</t>
  </si>
  <si>
    <t>W14x90</t>
  </si>
  <si>
    <t>W14x82</t>
  </si>
  <si>
    <t>W14x74</t>
  </si>
  <si>
    <t>W14x68</t>
  </si>
  <si>
    <t>W14x61</t>
  </si>
  <si>
    <t>W14x53</t>
  </si>
  <si>
    <t>W14x48</t>
  </si>
  <si>
    <t>W14x43</t>
  </si>
  <si>
    <t>W14x38</t>
  </si>
  <si>
    <t>W14x34</t>
  </si>
  <si>
    <t>W14x30</t>
  </si>
  <si>
    <t>W14x26</t>
  </si>
  <si>
    <t>W14x22</t>
  </si>
  <si>
    <t>W12x336</t>
  </si>
  <si>
    <t>W12x305</t>
  </si>
  <si>
    <t>W12x279</t>
  </si>
  <si>
    <t>W12x252</t>
  </si>
  <si>
    <t>W12x230</t>
  </si>
  <si>
    <t>W12x210</t>
  </si>
  <si>
    <t>W12x190</t>
  </si>
  <si>
    <t>W12x170</t>
  </si>
  <si>
    <t>W12x152</t>
  </si>
  <si>
    <t>W12x136</t>
  </si>
  <si>
    <t>W12x120</t>
  </si>
  <si>
    <t>W12x106</t>
  </si>
  <si>
    <t>W12x96</t>
  </si>
  <si>
    <t>W12x87</t>
  </si>
  <si>
    <t>W12x79</t>
  </si>
  <si>
    <t>W12x72</t>
  </si>
  <si>
    <t>W12x65</t>
  </si>
  <si>
    <t>W12x58</t>
  </si>
  <si>
    <t>W12x53</t>
  </si>
  <si>
    <t>W12x50</t>
  </si>
  <si>
    <t>W12x45</t>
  </si>
  <si>
    <t>W12x40</t>
  </si>
  <si>
    <t>W12x35</t>
  </si>
  <si>
    <t>W12x30</t>
  </si>
  <si>
    <t>W12x26</t>
  </si>
  <si>
    <t>W12x22</t>
  </si>
  <si>
    <t>W12x16</t>
  </si>
  <si>
    <t>W12x14</t>
  </si>
  <si>
    <t>W12x19</t>
  </si>
  <si>
    <t>W10x112</t>
  </si>
  <si>
    <t>W10x100</t>
  </si>
  <si>
    <t>W10x88</t>
  </si>
  <si>
    <t>W10x77</t>
  </si>
  <si>
    <t>W10x68</t>
  </si>
  <si>
    <t>W10x60</t>
  </si>
  <si>
    <t>W10x54</t>
  </si>
  <si>
    <t>W10x49</t>
  </si>
  <si>
    <t>W10x45</t>
  </si>
  <si>
    <t>W10x39</t>
  </si>
  <si>
    <t>W10x33</t>
  </si>
  <si>
    <t>W10x30</t>
  </si>
  <si>
    <t>W10x26</t>
  </si>
  <si>
    <t>W10x22</t>
  </si>
  <si>
    <t>W10x19</t>
  </si>
  <si>
    <t>W10x17</t>
  </si>
  <si>
    <t>W10x15</t>
  </si>
  <si>
    <t>W10x12</t>
  </si>
  <si>
    <t>W8x67</t>
  </si>
  <si>
    <t>W8x58</t>
  </si>
  <si>
    <t>W8x48</t>
  </si>
  <si>
    <t>W8x40</t>
  </si>
  <si>
    <t>W8x35</t>
  </si>
  <si>
    <t>W8x31</t>
  </si>
  <si>
    <t>W8x28</t>
  </si>
  <si>
    <t>W8x24</t>
  </si>
  <si>
    <t>W8x21</t>
  </si>
  <si>
    <t>W8x18</t>
  </si>
  <si>
    <t>W8x15</t>
  </si>
  <si>
    <t>W8x13</t>
  </si>
  <si>
    <t>W8x10</t>
  </si>
  <si>
    <t>W6x25</t>
  </si>
  <si>
    <t>W6x20</t>
  </si>
  <si>
    <t>W6x15</t>
  </si>
  <si>
    <t>W6x16</t>
  </si>
  <si>
    <t>W6x12</t>
  </si>
  <si>
    <t>W6x9</t>
  </si>
  <si>
    <t>W5x19</t>
  </si>
  <si>
    <t>W5x16</t>
  </si>
  <si>
    <t>W4x13</t>
  </si>
  <si>
    <t>bf</t>
  </si>
  <si>
    <t>Web</t>
  </si>
  <si>
    <t>M Shapes</t>
  </si>
  <si>
    <t>W Shapes</t>
  </si>
  <si>
    <t>M14x18</t>
  </si>
  <si>
    <t>Max</t>
  </si>
  <si>
    <t>Bolt</t>
  </si>
  <si>
    <t>M12x11.8</t>
  </si>
  <si>
    <t>-</t>
  </si>
  <si>
    <t>M10x9</t>
  </si>
  <si>
    <t>M8x6.5</t>
  </si>
  <si>
    <t>M6x4.4</t>
  </si>
  <si>
    <t>M5x18.9</t>
  </si>
  <si>
    <t>S Shapes</t>
  </si>
  <si>
    <t>S24x121</t>
  </si>
  <si>
    <t>S24x106</t>
  </si>
  <si>
    <t>Grip</t>
  </si>
  <si>
    <t>S24x100</t>
  </si>
  <si>
    <t>S24x90</t>
  </si>
  <si>
    <t>S24x80</t>
  </si>
  <si>
    <t>S20x96</t>
  </si>
  <si>
    <t>S20x86</t>
  </si>
  <si>
    <t>S20x75</t>
  </si>
  <si>
    <t>S20x66</t>
  </si>
  <si>
    <t>S18x70</t>
  </si>
  <si>
    <t>S18x54.7</t>
  </si>
  <si>
    <t>S15x50</t>
  </si>
  <si>
    <t>S15x42.9</t>
  </si>
  <si>
    <t>S12x50</t>
  </si>
  <si>
    <t>S12x40.8</t>
  </si>
  <si>
    <t>S12x35</t>
  </si>
  <si>
    <t>S12x31.8</t>
  </si>
  <si>
    <t>S10x35</t>
  </si>
  <si>
    <t>S10x25.4</t>
  </si>
  <si>
    <t>S8x23</t>
  </si>
  <si>
    <t>S8x18.4</t>
  </si>
  <si>
    <t>S7x20</t>
  </si>
  <si>
    <t>S7x15.3</t>
  </si>
  <si>
    <t>S6x17.25</t>
  </si>
  <si>
    <t>S6x12.5</t>
  </si>
  <si>
    <t>S5x14.75</t>
  </si>
  <si>
    <t>S5x10</t>
  </si>
  <si>
    <t>S4x9.5</t>
  </si>
  <si>
    <t>S4x7.7</t>
  </si>
  <si>
    <t>S3x7.5</t>
  </si>
  <si>
    <t>S3x5.7</t>
  </si>
  <si>
    <t>HP Shapes</t>
  </si>
  <si>
    <t>HP14x117</t>
  </si>
  <si>
    <t>HP14x102</t>
  </si>
  <si>
    <t>HP14x89</t>
  </si>
  <si>
    <t>HP14x73</t>
  </si>
  <si>
    <t>HP13x100</t>
  </si>
  <si>
    <t>HP13x87</t>
  </si>
  <si>
    <t>HP13x73</t>
  </si>
  <si>
    <t>HP13x60</t>
  </si>
  <si>
    <t>HP12x84</t>
  </si>
  <si>
    <t>HP12x74</t>
  </si>
  <si>
    <t>HP12x63</t>
  </si>
  <si>
    <t>HP12x53</t>
  </si>
  <si>
    <t>HP10x57</t>
  </si>
  <si>
    <t>HP10x42</t>
  </si>
  <si>
    <t>HP8x36</t>
  </si>
  <si>
    <t>*Flg. Thk.</t>
  </si>
  <si>
    <t>Channel</t>
  </si>
  <si>
    <t>Max.</t>
  </si>
  <si>
    <t>C15x50</t>
  </si>
  <si>
    <t>C15x40</t>
  </si>
  <si>
    <t>C15x33.9</t>
  </si>
  <si>
    <t>C12x30</t>
  </si>
  <si>
    <t>C12x25</t>
  </si>
  <si>
    <t>C12x20.7</t>
  </si>
  <si>
    <t>C10x25</t>
  </si>
  <si>
    <t>C10x20</t>
  </si>
  <si>
    <t>C10x15.3</t>
  </si>
  <si>
    <t>C9x20</t>
  </si>
  <si>
    <t>C9x15</t>
  </si>
  <si>
    <t>C9x13.4</t>
  </si>
  <si>
    <t>C8x18.75</t>
  </si>
  <si>
    <t>C8x13.75</t>
  </si>
  <si>
    <t>C8x11.5</t>
  </si>
  <si>
    <t>C7x14.75</t>
  </si>
  <si>
    <t>C7x12.25</t>
  </si>
  <si>
    <t>C7x9.8</t>
  </si>
  <si>
    <t>C6x13</t>
  </si>
  <si>
    <t>C6x10.5</t>
  </si>
  <si>
    <t>C6x8.2</t>
  </si>
  <si>
    <t>C5x9</t>
  </si>
  <si>
    <t>C5x6.7</t>
  </si>
  <si>
    <t>C4x7.25</t>
  </si>
  <si>
    <t>C4x5.4</t>
  </si>
  <si>
    <t>C3x6</t>
  </si>
  <si>
    <t>C3x5</t>
  </si>
  <si>
    <t>C3x4.1</t>
  </si>
  <si>
    <t>C10X30</t>
  </si>
  <si>
    <t xml:space="preserve">  </t>
  </si>
  <si>
    <t>Avg. Flg. Thk.</t>
  </si>
  <si>
    <t>Channels</t>
  </si>
  <si>
    <t>Miscellaneous</t>
  </si>
  <si>
    <t>MC9x25.4</t>
  </si>
  <si>
    <t>Standard</t>
  </si>
  <si>
    <t>MC18x58</t>
  </si>
  <si>
    <t>MC18x51.9</t>
  </si>
  <si>
    <t>MC18x45.8</t>
  </si>
  <si>
    <t>MC18x42.7</t>
  </si>
  <si>
    <t>MC13x50</t>
  </si>
  <si>
    <t>MC13x40</t>
  </si>
  <si>
    <t>MC13x35</t>
  </si>
  <si>
    <t>MC13x31.8</t>
  </si>
  <si>
    <t>MC12x50</t>
  </si>
  <si>
    <t>MC12x45</t>
  </si>
  <si>
    <t>MC12x40</t>
  </si>
  <si>
    <t>MC12x35</t>
  </si>
  <si>
    <t>MC12x10.6</t>
  </si>
  <si>
    <t>MC10x41.1</t>
  </si>
  <si>
    <t>MC10x33.6</t>
  </si>
  <si>
    <t>MC10x28.5</t>
  </si>
  <si>
    <t>MC10x8.4</t>
  </si>
  <si>
    <t>MC10x6.5</t>
  </si>
  <si>
    <t>MC9x23.9</t>
  </si>
  <si>
    <t>MC8x22.8</t>
  </si>
  <si>
    <t>MC8x18.7</t>
  </si>
  <si>
    <t>MC8x8.5</t>
  </si>
  <si>
    <t>MC7x22.7</t>
  </si>
  <si>
    <t>MC7x19.1</t>
  </si>
  <si>
    <t>MC6x16.3</t>
  </si>
  <si>
    <t>MC6x15.1</t>
  </si>
  <si>
    <t>MC6x12</t>
  </si>
  <si>
    <t>MC8x20</t>
  </si>
  <si>
    <t>MC6x18</t>
  </si>
  <si>
    <t>MC6x15.3</t>
  </si>
  <si>
    <t>L9x4</t>
  </si>
  <si>
    <t>Thk.</t>
  </si>
  <si>
    <t>Angles in shaded rows may not be readily available</t>
  </si>
  <si>
    <t>L8x8</t>
  </si>
  <si>
    <t>L8x6</t>
  </si>
  <si>
    <t>L8x4</t>
  </si>
  <si>
    <t>L7x4</t>
  </si>
  <si>
    <t>L6x6</t>
  </si>
  <si>
    <t>L6x4</t>
  </si>
  <si>
    <t>L6x3 1/2</t>
  </si>
  <si>
    <t>L5x5</t>
  </si>
  <si>
    <t>L5x3 1/2</t>
  </si>
  <si>
    <t>L4x4</t>
  </si>
  <si>
    <t>L4x3 1/2</t>
  </si>
  <si>
    <t>L4x3</t>
  </si>
  <si>
    <t>L3 1/2x3 1/2</t>
  </si>
  <si>
    <t>L3 1/2x3</t>
  </si>
  <si>
    <t>L3 1/2x2 1/2</t>
  </si>
  <si>
    <t>L3x3</t>
  </si>
  <si>
    <t>L3x2 1/2</t>
  </si>
  <si>
    <t>L3x2</t>
  </si>
  <si>
    <t>L2 1/2x2 1/2</t>
  </si>
  <si>
    <t>L2 1/2x2</t>
  </si>
  <si>
    <t>L2x2</t>
  </si>
  <si>
    <t>WT18x150</t>
  </si>
  <si>
    <t>WT18x140</t>
  </si>
  <si>
    <t>WT18x130</t>
  </si>
  <si>
    <t>WT18x122.5</t>
  </si>
  <si>
    <t>WT18x115</t>
  </si>
  <si>
    <t>WT18x105</t>
  </si>
  <si>
    <t>WT18x97</t>
  </si>
  <si>
    <t>WT18x91</t>
  </si>
  <si>
    <t>WT18x85</t>
  </si>
  <si>
    <t>WT18x80</t>
  </si>
  <si>
    <t>WT18x75</t>
  </si>
  <si>
    <t>WT18x67.5</t>
  </si>
  <si>
    <t>WT16.5x120.5</t>
  </si>
  <si>
    <t>WT16.5x110.5</t>
  </si>
  <si>
    <t>WT16.5x100.5</t>
  </si>
  <si>
    <t>WT16.5x76</t>
  </si>
  <si>
    <t>WT16.5x70.5</t>
  </si>
  <si>
    <t>WT16.5x65</t>
  </si>
  <si>
    <t>WT16.5x59</t>
  </si>
  <si>
    <t>WT15x105.5</t>
  </si>
  <si>
    <t>WT15x95.5</t>
  </si>
  <si>
    <t>WT15x86.5</t>
  </si>
  <si>
    <t>WT15x66</t>
  </si>
  <si>
    <t>WT15x62</t>
  </si>
  <si>
    <t>WT15x58</t>
  </si>
  <si>
    <t>WT15x54</t>
  </si>
  <si>
    <t>WT15x49.5</t>
  </si>
  <si>
    <t>WT13.5x89</t>
  </si>
  <si>
    <t>WT13.5x80.5</t>
  </si>
  <si>
    <t>WT13.5x73</t>
  </si>
  <si>
    <t>WT13.5x57</t>
  </si>
  <si>
    <t>WT13.5x51</t>
  </si>
  <si>
    <t>WT13.5x47</t>
  </si>
  <si>
    <t>WT13.5x42</t>
  </si>
  <si>
    <t>WT12x81</t>
  </si>
  <si>
    <t>WT12x73</t>
  </si>
  <si>
    <t>WT12x65.5</t>
  </si>
  <si>
    <t>WT12x58.5</t>
  </si>
  <si>
    <t>WT12x52</t>
  </si>
  <si>
    <t>WT12x47</t>
  </si>
  <si>
    <t>WT12x42</t>
  </si>
  <si>
    <t>WT12x38</t>
  </si>
  <si>
    <t>WT12x34</t>
  </si>
  <si>
    <t>WT12x31</t>
  </si>
  <si>
    <t>WT12x27.5</t>
  </si>
  <si>
    <t>WT10.5x73.5</t>
  </si>
  <si>
    <t>WT10.5x66</t>
  </si>
  <si>
    <t>WT10.5x61</t>
  </si>
  <si>
    <t>WT10.5x55.5</t>
  </si>
  <si>
    <t>WT10.5x50.5</t>
  </si>
  <si>
    <t>WT10.5x46.5</t>
  </si>
  <si>
    <t>WT10.5x41.5</t>
  </si>
  <si>
    <t>WT10.5x36.5</t>
  </si>
  <si>
    <t>WT10.5x34</t>
  </si>
  <si>
    <t>WT10.5x31</t>
  </si>
  <si>
    <t>WT10.5x28.5</t>
  </si>
  <si>
    <t>WT10.5x25</t>
  </si>
  <si>
    <t>WT10.5x22</t>
  </si>
  <si>
    <t>WT9x59.5</t>
  </si>
  <si>
    <t>WT9x53</t>
  </si>
  <si>
    <t>WT9x48.5</t>
  </si>
  <si>
    <t>WT9x43</t>
  </si>
  <si>
    <t>WT9x38</t>
  </si>
  <si>
    <t>WT9x35.5</t>
  </si>
  <si>
    <t>WT9x32.5</t>
  </si>
  <si>
    <t>WT9x30</t>
  </si>
  <si>
    <t>WT9x27.5</t>
  </si>
  <si>
    <t>WT9x25</t>
  </si>
  <si>
    <t>WT9x23</t>
  </si>
  <si>
    <t>WT9x20</t>
  </si>
  <si>
    <t>WT9x17.5</t>
  </si>
  <si>
    <t>WT8x50</t>
  </si>
  <si>
    <t>WT8x44.5</t>
  </si>
  <si>
    <t>WT8x38.5</t>
  </si>
  <si>
    <t>WT8x33.5</t>
  </si>
  <si>
    <t>WT8x28.5</t>
  </si>
  <si>
    <t>WT8x25</t>
  </si>
  <si>
    <t>WT8x22.5</t>
  </si>
  <si>
    <t>WT8x20</t>
  </si>
  <si>
    <t>WT8x18</t>
  </si>
  <si>
    <t>WT8x15.5</t>
  </si>
  <si>
    <t>WT8x13</t>
  </si>
  <si>
    <t>WT7x365</t>
  </si>
  <si>
    <t>WT7x332.5</t>
  </si>
  <si>
    <t>WT7x302.5</t>
  </si>
  <si>
    <t>WT7x275</t>
  </si>
  <si>
    <t>WT7x250</t>
  </si>
  <si>
    <t>WT7x227.5</t>
  </si>
  <si>
    <t>WT7x213</t>
  </si>
  <si>
    <t>WT7x199</t>
  </si>
  <si>
    <t>WT7x185</t>
  </si>
  <si>
    <t>WT7x171</t>
  </si>
  <si>
    <t>WT7x155.5</t>
  </si>
  <si>
    <t>WT7x141.5</t>
  </si>
  <si>
    <t>WT7x128.5</t>
  </si>
  <si>
    <t>WT7x116.5</t>
  </si>
  <si>
    <t>WT7x105.5</t>
  </si>
  <si>
    <t>WT7x96.5</t>
  </si>
  <si>
    <t>WT7x88</t>
  </si>
  <si>
    <t>WT7x79.5</t>
  </si>
  <si>
    <t>WT7x72.5</t>
  </si>
  <si>
    <t>WT7x66</t>
  </si>
  <si>
    <t>WT7x60</t>
  </si>
  <si>
    <t>WT7x54.5</t>
  </si>
  <si>
    <t>WT7x49.5</t>
  </si>
  <si>
    <t>WT7x45</t>
  </si>
  <si>
    <t>WT7x41</t>
  </si>
  <si>
    <t>WT7x37</t>
  </si>
  <si>
    <t>WT7x34</t>
  </si>
  <si>
    <t>WT7x30.5</t>
  </si>
  <si>
    <t>WT7x26.5</t>
  </si>
  <si>
    <t>WT7x24</t>
  </si>
  <si>
    <t>WT7x21.5</t>
  </si>
  <si>
    <t>WT7x19</t>
  </si>
  <si>
    <t>WT7x17</t>
  </si>
  <si>
    <t>WT7x15</t>
  </si>
  <si>
    <t>WT7x13</t>
  </si>
  <si>
    <t>WT7x11</t>
  </si>
  <si>
    <t>WT6x168</t>
  </si>
  <si>
    <t>WT6x152.5</t>
  </si>
  <si>
    <t>WT6x139.5</t>
  </si>
  <si>
    <t>WT6x126</t>
  </si>
  <si>
    <t>WT6x115</t>
  </si>
  <si>
    <t>WT6x105</t>
  </si>
  <si>
    <t>WT6x95</t>
  </si>
  <si>
    <t>WT6x85</t>
  </si>
  <si>
    <t>WT6x76</t>
  </si>
  <si>
    <t>WT6x68</t>
  </si>
  <si>
    <t>WT6x60</t>
  </si>
  <si>
    <t>WT6x53</t>
  </si>
  <si>
    <t>WT6x48</t>
  </si>
  <si>
    <t>WT6x43.5</t>
  </si>
  <si>
    <t>WT6x39.5</t>
  </si>
  <si>
    <t>WT6x36</t>
  </si>
  <si>
    <t>WT6x32.5</t>
  </si>
  <si>
    <t>WT6x29</t>
  </si>
  <si>
    <t>WT6x26.5</t>
  </si>
  <si>
    <t>WT6x25</t>
  </si>
  <si>
    <t>WT6x22.5</t>
  </si>
  <si>
    <t>WT6x20</t>
  </si>
  <si>
    <t>WT6x17.5</t>
  </si>
  <si>
    <t>WT6x15</t>
  </si>
  <si>
    <t>WT6x13</t>
  </si>
  <si>
    <t>WT6x11</t>
  </si>
  <si>
    <t>WT6x9.5</t>
  </si>
  <si>
    <t>WT6x8</t>
  </si>
  <si>
    <t>WT6x7</t>
  </si>
  <si>
    <t>WT5x56</t>
  </si>
  <si>
    <t>WT5x50</t>
  </si>
  <si>
    <t>WT5x44</t>
  </si>
  <si>
    <t>WT5x38.5</t>
  </si>
  <si>
    <t>WT5x34</t>
  </si>
  <si>
    <t>WT5x30</t>
  </si>
  <si>
    <t>WT5x27</t>
  </si>
  <si>
    <t>WT5x24.5</t>
  </si>
  <si>
    <t>WT5x22.5</t>
  </si>
  <si>
    <t>WT5x19.5</t>
  </si>
  <si>
    <t>WT5x16.5</t>
  </si>
  <si>
    <t>WT5x15</t>
  </si>
  <si>
    <t>WT5x13</t>
  </si>
  <si>
    <t>WT5x11</t>
  </si>
  <si>
    <t>WT5x9.5</t>
  </si>
  <si>
    <t>WT5x8.5</t>
  </si>
  <si>
    <t>WT5x7.5</t>
  </si>
  <si>
    <t>WT5x6</t>
  </si>
  <si>
    <t>WT4x33.5</t>
  </si>
  <si>
    <t>WT4x29</t>
  </si>
  <si>
    <t>WT4x24</t>
  </si>
  <si>
    <t>WT4x20</t>
  </si>
  <si>
    <t>WT4x17.5</t>
  </si>
  <si>
    <t>WT4x15.5</t>
  </si>
  <si>
    <t>WT4x14</t>
  </si>
  <si>
    <t>WT4x12</t>
  </si>
  <si>
    <t>WT4x10.5</t>
  </si>
  <si>
    <t>WT4x9</t>
  </si>
  <si>
    <t>WT4x7.5</t>
  </si>
  <si>
    <t>WT4x6.5</t>
  </si>
  <si>
    <t>WT4x5</t>
  </si>
  <si>
    <t>WT3x12.5</t>
  </si>
  <si>
    <t>WT3x10</t>
  </si>
  <si>
    <t>WT3x7.5</t>
  </si>
  <si>
    <t>WT3x8</t>
  </si>
  <si>
    <t>WT3x6</t>
  </si>
  <si>
    <t>WT3x4.5</t>
  </si>
  <si>
    <t>WT2.5x9.5</t>
  </si>
  <si>
    <t>WT2.5x8</t>
  </si>
  <si>
    <t>WT2x6.5</t>
  </si>
  <si>
    <t>WTee</t>
  </si>
  <si>
    <t>Structutral Tees</t>
  </si>
  <si>
    <t>Cut from W shapes</t>
  </si>
  <si>
    <t>STee</t>
  </si>
  <si>
    <t>ST12x60.5</t>
  </si>
  <si>
    <t>Cut from S shapes</t>
  </si>
  <si>
    <t>ST12x53</t>
  </si>
  <si>
    <t>ST12x50</t>
  </si>
  <si>
    <t>ST12x45</t>
  </si>
  <si>
    <t>ST12x40</t>
  </si>
  <si>
    <t>ST10x48</t>
  </si>
  <si>
    <t>ST10x43</t>
  </si>
  <si>
    <t>ST10x37.5</t>
  </si>
  <si>
    <t>ST10x33</t>
  </si>
  <si>
    <t>ST9x35</t>
  </si>
  <si>
    <t>ST9x27.35</t>
  </si>
  <si>
    <t>ST7.5x25</t>
  </si>
  <si>
    <t>ST7.5x21.45</t>
  </si>
  <si>
    <t>ST6x25</t>
  </si>
  <si>
    <t>ST6x20.4</t>
  </si>
  <si>
    <t>ST6x17.5</t>
  </si>
  <si>
    <t>ST6x15.9</t>
  </si>
  <si>
    <t>ST5x17.5</t>
  </si>
  <si>
    <t>ST5x12.7</t>
  </si>
  <si>
    <t>ST4x11.5</t>
  </si>
  <si>
    <t>ST4x9.2</t>
  </si>
  <si>
    <t>ST3.5x10</t>
  </si>
  <si>
    <t>ST3.5x7.65</t>
  </si>
  <si>
    <t>ST3x8.625</t>
  </si>
  <si>
    <t>ST3x6.25</t>
  </si>
  <si>
    <t>ST2.5x7.375</t>
  </si>
  <si>
    <t>ST2.5x5</t>
  </si>
  <si>
    <t>ST2x4.75</t>
  </si>
  <si>
    <t>ST2x3.85</t>
  </si>
  <si>
    <t>ST1.5x3.75</t>
  </si>
  <si>
    <t>ST1.5x2.85</t>
  </si>
  <si>
    <t>g1</t>
  </si>
  <si>
    <t>g2</t>
  </si>
  <si>
    <t>Angles</t>
  </si>
  <si>
    <t>Leg</t>
  </si>
  <si>
    <t xml:space="preserve">   g</t>
  </si>
  <si>
    <t>g</t>
  </si>
  <si>
    <t>Usual Gages For Angles , Inches</t>
  </si>
  <si>
    <t>Radius Equals two times wall thickness</t>
  </si>
  <si>
    <t>Structural Tubing</t>
  </si>
  <si>
    <t>Nominal</t>
  </si>
  <si>
    <t>Wall</t>
  </si>
  <si>
    <t>Thk</t>
  </si>
  <si>
    <t>Weight</t>
  </si>
  <si>
    <t>16x16</t>
  </si>
  <si>
    <t>14x14</t>
  </si>
  <si>
    <t>12x12</t>
  </si>
  <si>
    <t>10x10</t>
  </si>
  <si>
    <t>8x8</t>
  </si>
  <si>
    <t>7x7</t>
  </si>
  <si>
    <t>6x6</t>
  </si>
  <si>
    <t>5x5</t>
  </si>
  <si>
    <t>4x4</t>
  </si>
  <si>
    <t>3.5x3.5</t>
  </si>
  <si>
    <t>3x3</t>
  </si>
  <si>
    <t>2.5x2.5</t>
  </si>
  <si>
    <t>2x2</t>
  </si>
  <si>
    <t>Square</t>
  </si>
  <si>
    <t>Rectangular</t>
  </si>
  <si>
    <t>20x12</t>
  </si>
  <si>
    <t>20x8</t>
  </si>
  <si>
    <t>20x4</t>
  </si>
  <si>
    <t>18x6</t>
  </si>
  <si>
    <t>16x12</t>
  </si>
  <si>
    <t>16x8</t>
  </si>
  <si>
    <t>16x4</t>
  </si>
  <si>
    <t>14x10</t>
  </si>
  <si>
    <t>14x6</t>
  </si>
  <si>
    <t>14x4</t>
  </si>
  <si>
    <t>12x8</t>
  </si>
  <si>
    <t>12x6</t>
  </si>
  <si>
    <t>12x4</t>
  </si>
  <si>
    <t>12x2</t>
  </si>
  <si>
    <t>10x6</t>
  </si>
  <si>
    <t>10x4</t>
  </si>
  <si>
    <t>10x2</t>
  </si>
  <si>
    <t>8x6</t>
  </si>
  <si>
    <t>8x4</t>
  </si>
  <si>
    <t>8x3</t>
  </si>
  <si>
    <t>8x2</t>
  </si>
  <si>
    <t>7x5</t>
  </si>
  <si>
    <t>7x4</t>
  </si>
  <si>
    <t>7x3</t>
  </si>
  <si>
    <t>6x4</t>
  </si>
  <si>
    <t>6x3</t>
  </si>
  <si>
    <t>6x2</t>
  </si>
  <si>
    <t>5x4</t>
  </si>
  <si>
    <t>5x3</t>
  </si>
  <si>
    <t>5x2</t>
  </si>
  <si>
    <t>4x3</t>
  </si>
  <si>
    <t>4x2</t>
  </si>
  <si>
    <t>3x2</t>
  </si>
  <si>
    <t>Pipe Size</t>
  </si>
  <si>
    <t>O.D.</t>
  </si>
  <si>
    <t>Outside</t>
  </si>
  <si>
    <t>Dia.</t>
  </si>
  <si>
    <t>Desig-</t>
  </si>
  <si>
    <t>nation</t>
  </si>
  <si>
    <t>Thickness</t>
  </si>
  <si>
    <t>Std.</t>
  </si>
  <si>
    <t>X-Stg.</t>
  </si>
  <si>
    <t>10S</t>
  </si>
  <si>
    <t>XX-Stg.</t>
  </si>
  <si>
    <t>API</t>
  </si>
  <si>
    <t>--</t>
  </si>
  <si>
    <t>12 Ga.</t>
  </si>
  <si>
    <t>8 Ga.</t>
  </si>
  <si>
    <t>6Ga.</t>
  </si>
  <si>
    <t>10 Ga.</t>
  </si>
  <si>
    <t>6 Ga.</t>
  </si>
  <si>
    <t>3 Ga.</t>
  </si>
  <si>
    <t>Lbs/ Ft.</t>
  </si>
  <si>
    <t>Kg/M</t>
  </si>
  <si>
    <t>Pipe Tables</t>
  </si>
  <si>
    <t>Lbs/Ft</t>
  </si>
  <si>
    <t>Pipe</t>
  </si>
  <si>
    <t xml:space="preserve"> Thk.</t>
  </si>
  <si>
    <t xml:space="preserve">Wt. Of </t>
  </si>
  <si>
    <t>** Use Pipe Weights if Given Below</t>
  </si>
  <si>
    <t>Wt Of Pipe</t>
  </si>
  <si>
    <t>Water/Ft-Lbs.</t>
  </si>
  <si>
    <t>&amp; Water-Lbs/Ft</t>
  </si>
  <si>
    <t>Sq. Ft.- Surf</t>
  </si>
  <si>
    <t>Area - per Ft</t>
  </si>
  <si>
    <t>Shapes in shaded rows are not available from domestic producers</t>
  </si>
  <si>
    <t>W44x285</t>
  </si>
  <si>
    <t>W44X248</t>
  </si>
  <si>
    <t>W44x224</t>
  </si>
  <si>
    <t>W44x198</t>
  </si>
  <si>
    <t>W40x328</t>
  </si>
  <si>
    <t>W40x298</t>
  </si>
  <si>
    <t>W40x244</t>
  </si>
  <si>
    <t>W40x268</t>
  </si>
  <si>
    <t>W40x221</t>
  </si>
  <si>
    <t>W40x192</t>
  </si>
  <si>
    <t>W40x655</t>
  </si>
  <si>
    <t>W40x593</t>
  </si>
  <si>
    <t>W40x531</t>
  </si>
  <si>
    <t>W40x480</t>
  </si>
  <si>
    <t>W40x436</t>
  </si>
  <si>
    <t>W40x397</t>
  </si>
  <si>
    <t>W40x362</t>
  </si>
  <si>
    <t>W40x324</t>
  </si>
  <si>
    <t>W40x297</t>
  </si>
  <si>
    <t>W40x277</t>
  </si>
  <si>
    <t>W40x249</t>
  </si>
  <si>
    <t>W40x215</t>
  </si>
  <si>
    <t>W40x199</t>
  </si>
  <si>
    <t>W40x183</t>
  </si>
  <si>
    <t>W40x167</t>
  </si>
  <si>
    <t>W40x149</t>
  </si>
  <si>
    <t>W36x328</t>
  </si>
  <si>
    <t>W36x359</t>
  </si>
  <si>
    <t>W36x393</t>
  </si>
  <si>
    <t>W36x439</t>
  </si>
  <si>
    <t>W36x485</t>
  </si>
  <si>
    <t>W36x527</t>
  </si>
  <si>
    <t>W36x588</t>
  </si>
  <si>
    <t>W36x650</t>
  </si>
  <si>
    <t>W36x720</t>
  </si>
  <si>
    <t>W36x798</t>
  </si>
  <si>
    <t>W36x848</t>
  </si>
  <si>
    <t>W33x263</t>
  </si>
  <si>
    <t>W33x291</t>
  </si>
  <si>
    <t>W33x318</t>
  </si>
  <si>
    <t>W33x354</t>
  </si>
  <si>
    <t>W33x387</t>
  </si>
  <si>
    <t>W33x424</t>
  </si>
  <si>
    <t>W33x468</t>
  </si>
  <si>
    <t>W33x515</t>
  </si>
  <si>
    <t>W33x567</t>
  </si>
  <si>
    <t>W33x619</t>
  </si>
  <si>
    <t>W30x235</t>
  </si>
  <si>
    <t>W30x261</t>
  </si>
  <si>
    <t>W30x292</t>
  </si>
  <si>
    <t>W30x326</t>
  </si>
  <si>
    <t>W30x357</t>
  </si>
  <si>
    <t>W30x391</t>
  </si>
  <si>
    <t>W30x433</t>
  </si>
  <si>
    <t>W30x477</t>
  </si>
  <si>
    <t>W30x526</t>
  </si>
  <si>
    <t>W30x581</t>
  </si>
  <si>
    <t>W27x194</t>
  </si>
  <si>
    <t>W27x217</t>
  </si>
  <si>
    <t>W27x235</t>
  </si>
  <si>
    <t>W27x258</t>
  </si>
  <si>
    <t>W27x281</t>
  </si>
  <si>
    <t>W27x307</t>
  </si>
  <si>
    <t>W27x336</t>
  </si>
  <si>
    <t>W27x368</t>
  </si>
  <si>
    <t>W27x407</t>
  </si>
  <si>
    <t>W27x448</t>
  </si>
  <si>
    <t>W27x494</t>
  </si>
  <si>
    <t>W27x539</t>
  </si>
  <si>
    <t>W24x176</t>
  </si>
  <si>
    <t>W24x192</t>
  </si>
  <si>
    <t>W24x207</t>
  </si>
  <si>
    <t>W24x229</t>
  </si>
  <si>
    <t>W24x250</t>
  </si>
  <si>
    <t>W24x279</t>
  </si>
  <si>
    <t>W24x306</t>
  </si>
  <si>
    <t>W24x335</t>
  </si>
  <si>
    <t>W24x370</t>
  </si>
  <si>
    <t>W24x408</t>
  </si>
  <si>
    <t>W24x450</t>
  </si>
  <si>
    <t>W24x492</t>
  </si>
  <si>
    <t>W21x166</t>
  </si>
  <si>
    <t>W21x182</t>
  </si>
  <si>
    <t>W21x201</t>
  </si>
  <si>
    <t>W21x223</t>
  </si>
  <si>
    <t>W21x248</t>
  </si>
  <si>
    <t>W21x275</t>
  </si>
  <si>
    <t>W21x300</t>
  </si>
  <si>
    <t>W21x333</t>
  </si>
  <si>
    <t>W21x364</t>
  </si>
  <si>
    <t>W21x402</t>
  </si>
  <si>
    <t>W18x130</t>
  </si>
  <si>
    <t>W18x143</t>
  </si>
  <si>
    <t>W18x158</t>
  </si>
  <si>
    <t>W18x175</t>
  </si>
  <si>
    <t>W18x192</t>
  </si>
  <si>
    <t>W18x211</t>
  </si>
  <si>
    <t>W18x234</t>
  </si>
  <si>
    <t>W18x258</t>
  </si>
  <si>
    <t>W18x283</t>
  </si>
  <si>
    <t>W18x311</t>
  </si>
  <si>
    <t>L1 3/4x1 3/4</t>
  </si>
  <si>
    <t>L1 1/2x1 1/2</t>
  </si>
  <si>
    <t>L1 1/4x1 1/4</t>
  </si>
  <si>
    <t>L1x1</t>
  </si>
  <si>
    <t>L1 1/8x1 1/8</t>
  </si>
  <si>
    <t>WT18x164</t>
  </si>
  <si>
    <t>WT18x179.5</t>
  </si>
  <si>
    <t>WT16.5x131.5</t>
  </si>
  <si>
    <t>WT16.5x145.5</t>
  </si>
  <si>
    <t>WT16.5x159</t>
  </si>
  <si>
    <t>WT16.5x177</t>
  </si>
  <si>
    <t>WT15x117.5</t>
  </si>
  <si>
    <t>WT13.5X97</t>
  </si>
  <si>
    <t>WT13.5x108.5</t>
  </si>
  <si>
    <t>WT12x88</t>
  </si>
  <si>
    <t>WT10.5x83</t>
  </si>
  <si>
    <t>Stem Thk.</t>
  </si>
  <si>
    <t>WT9x65</t>
  </si>
  <si>
    <t>WT9x71.5</t>
  </si>
  <si>
    <t>9x9</t>
  </si>
  <si>
    <t>4.5x4.5</t>
  </si>
  <si>
    <t>10x8</t>
  </si>
  <si>
    <t>10x5</t>
  </si>
  <si>
    <t>9x7</t>
  </si>
  <si>
    <t>9x6</t>
  </si>
  <si>
    <t>9x5</t>
  </si>
  <si>
    <t>9x3</t>
  </si>
  <si>
    <t>7x2</t>
  </si>
  <si>
    <t>6x5</t>
  </si>
  <si>
    <t>3.5x2.5</t>
  </si>
  <si>
    <t>L5x3</t>
  </si>
  <si>
    <t>W36x256</t>
  </si>
  <si>
    <t>W36x232</t>
  </si>
  <si>
    <t>W33x169</t>
  </si>
  <si>
    <t>W30x148</t>
  </si>
  <si>
    <t>W30x90</t>
  </si>
  <si>
    <t>W27x129</t>
  </si>
  <si>
    <t>W24x103</t>
  </si>
  <si>
    <t>M12x10.8</t>
  </si>
  <si>
    <t>M12x10</t>
  </si>
  <si>
    <t>M10x8</t>
  </si>
  <si>
    <t>M10x7.5</t>
  </si>
  <si>
    <t>MC12x31</t>
  </si>
  <si>
    <t>MC10x25</t>
  </si>
  <si>
    <t>MC10x22</t>
  </si>
  <si>
    <t>MC8x21.4</t>
  </si>
  <si>
    <t>WT18x128</t>
  </si>
  <si>
    <t>WT18x116</t>
  </si>
  <si>
    <t>WT16.5x84.5</t>
  </si>
  <si>
    <t>WT15x74</t>
  </si>
  <si>
    <t>Wt13.5x64.5</t>
  </si>
  <si>
    <t>WT12x51.5</t>
  </si>
  <si>
    <t xml:space="preserve">         Web thk. "tw"</t>
  </si>
  <si>
    <t>Flg. Thk "tf"</t>
  </si>
  <si>
    <t xml:space="preserve"> "d"</t>
  </si>
  <si>
    <t xml:space="preserve">   Flg. Width "bf"</t>
  </si>
  <si>
    <t xml:space="preserve">        Flg Gage</t>
  </si>
  <si>
    <t xml:space="preserve">         k1</t>
  </si>
  <si>
    <t xml:space="preserve">  k</t>
  </si>
  <si>
    <t>Web Gage</t>
  </si>
  <si>
    <t xml:space="preserve">    Avg.  Flg. Thk "tf"</t>
  </si>
  <si>
    <t xml:space="preserve">  Flg. Width "bf"</t>
  </si>
  <si>
    <t>** Flg. Slope 1:6</t>
  </si>
  <si>
    <t xml:space="preserve"> " k"</t>
  </si>
  <si>
    <t xml:space="preserve">               Flg Gage</t>
  </si>
  <si>
    <t xml:space="preserve">              Flg. Width "bf"</t>
  </si>
  <si>
    <t xml:space="preserve">  Avg. Flg. Thk.</t>
  </si>
  <si>
    <t xml:space="preserve">  "d"</t>
  </si>
  <si>
    <t xml:space="preserve">           "k"</t>
  </si>
  <si>
    <t xml:space="preserve">         Stem Thk. "tw"</t>
  </si>
  <si>
    <t xml:space="preserve">       Avg.  Flg. Thk "tf"</t>
  </si>
  <si>
    <t xml:space="preserve">        Stem Thk. "tw"</t>
  </si>
  <si>
    <t xml:space="preserve">    Depth</t>
  </si>
  <si>
    <t xml:space="preserve">      "d"</t>
  </si>
  <si>
    <t>**Pipe  - Formulas</t>
  </si>
  <si>
    <t>Bearing Bar</t>
  </si>
  <si>
    <t>2'-0"</t>
  </si>
  <si>
    <t>2'-6"</t>
  </si>
  <si>
    <t>3'-0"</t>
  </si>
  <si>
    <t>4'-0"</t>
  </si>
  <si>
    <t>4'-6"</t>
  </si>
  <si>
    <t>5'-0"</t>
  </si>
  <si>
    <t>Nominal Wt.</t>
  </si>
  <si>
    <t>5'-6"</t>
  </si>
  <si>
    <t>7'-0"</t>
  </si>
  <si>
    <t>8'-0"</t>
  </si>
  <si>
    <t>9'-0"</t>
  </si>
  <si>
    <t>Bearing Bars Spaced 1 3/16" on centers - Cross bars 4" on center</t>
  </si>
  <si>
    <t>Span</t>
  </si>
  <si>
    <t>3/4" x 1/8"</t>
  </si>
  <si>
    <t>3/4"x3/16"</t>
  </si>
  <si>
    <t>1"x1/8"</t>
  </si>
  <si>
    <t>1"x3/16"</t>
  </si>
  <si>
    <t>1-1/4"x1/8"</t>
  </si>
  <si>
    <t>1-1/4"x3/16"</t>
  </si>
  <si>
    <t>1-1/2"x1/8"</t>
  </si>
  <si>
    <t>1-1/2"x3/16"</t>
  </si>
  <si>
    <t>1-3/4"x3/16"</t>
  </si>
  <si>
    <t>2"x3/16"</t>
  </si>
  <si>
    <t>2-1/4"x3/16"</t>
  </si>
  <si>
    <t>2-1/2"x3/16'</t>
  </si>
  <si>
    <t>U</t>
  </si>
  <si>
    <t>D</t>
  </si>
  <si>
    <t>3'-6"</t>
  </si>
  <si>
    <t>6'-0</t>
  </si>
  <si>
    <t>6'-6"</t>
  </si>
  <si>
    <t>.</t>
  </si>
  <si>
    <t>Welded Steel Grating</t>
  </si>
  <si>
    <t>Note:</t>
  </si>
  <si>
    <t>Spans and loads in the shaded area exceeds a deflection of 1/4" for uniform loads</t>
  </si>
  <si>
    <t>of 100#/sq. ft. which provide safe pedestrian comfort, but can be exceeded for other</t>
  </si>
  <si>
    <t>types of loads at the discretion of the engineer.</t>
  </si>
  <si>
    <t>C</t>
  </si>
  <si>
    <t>U-</t>
  </si>
  <si>
    <t>C-</t>
  </si>
  <si>
    <t>D-</t>
  </si>
  <si>
    <t>Safe Uniform Load in lbs per sq. ft.</t>
  </si>
  <si>
    <t>Safe Concentrated Loads in lbs per foot of Grating Width</t>
  </si>
  <si>
    <t>Deflection in inches</t>
  </si>
  <si>
    <t>lbs per sq.ft.</t>
  </si>
  <si>
    <t>ABB</t>
  </si>
  <si>
    <t xml:space="preserve">Password </t>
  </si>
  <si>
    <t>Sq. M-per M</t>
  </si>
  <si>
    <t>Surface area</t>
  </si>
  <si>
    <t>Sq.Ft-per Ft.</t>
  </si>
  <si>
    <t>Sq.M.- Surf</t>
  </si>
  <si>
    <t>Area - per M</t>
  </si>
  <si>
    <t>lbs/ft</t>
  </si>
  <si>
    <t>Surf. Area</t>
  </si>
  <si>
    <t>Sq.Ft-Ft.</t>
  </si>
  <si>
    <t>Sq.M-M.</t>
  </si>
  <si>
    <t>Kg per sq. M</t>
  </si>
  <si>
    <t>Wt. of  Water</t>
  </si>
  <si>
    <t>per Ft - Lbs.</t>
  </si>
  <si>
    <t>Wt of Pipe</t>
  </si>
  <si>
    <t>Inches</t>
  </si>
  <si>
    <t>mm</t>
  </si>
  <si>
    <t>Girder - Formulas</t>
  </si>
  <si>
    <t>English</t>
  </si>
  <si>
    <t>Metric</t>
  </si>
  <si>
    <t>Surface Area</t>
  </si>
  <si>
    <t>Sq. Ft</t>
  </si>
  <si>
    <t>Per Ft</t>
  </si>
  <si>
    <t>Per Meter</t>
  </si>
  <si>
    <t>Web Inches</t>
  </si>
  <si>
    <t>Web mm</t>
  </si>
  <si>
    <t>Kg per M</t>
  </si>
  <si>
    <t xml:space="preserve">    Flg. Width "bf"</t>
  </si>
  <si>
    <t xml:space="preserve">              Flg Gage</t>
  </si>
  <si>
    <t>KEY IN</t>
  </si>
  <si>
    <t>Surface</t>
  </si>
  <si>
    <t>Area</t>
  </si>
  <si>
    <t>Kg./M</t>
  </si>
  <si>
    <t>Sq.Ft-per Ft</t>
  </si>
  <si>
    <t>Sq.M-per M</t>
  </si>
  <si>
    <t xml:space="preserve"> Flg. Width "bf"</t>
  </si>
  <si>
    <t xml:space="preserve">      Web thk. "tw"</t>
  </si>
  <si>
    <t>Plate - Formulas</t>
  </si>
  <si>
    <t>Pl Thk.</t>
  </si>
  <si>
    <t>Pounds</t>
  </si>
  <si>
    <t>Kilograms</t>
  </si>
  <si>
    <t>per Sq. Meter</t>
  </si>
  <si>
    <t>per Sq. Ft</t>
  </si>
  <si>
    <t>Girder</t>
  </si>
  <si>
    <t>Length</t>
  </si>
  <si>
    <t>Feet</t>
  </si>
  <si>
    <t>Total</t>
  </si>
  <si>
    <t>Sq. Meters</t>
  </si>
  <si>
    <t>Web. Plate</t>
  </si>
  <si>
    <t>Flg. Plates</t>
  </si>
  <si>
    <t>Meters</t>
  </si>
  <si>
    <t>Sq.Meters</t>
  </si>
  <si>
    <t>Lbs.</t>
  </si>
  <si>
    <t>Kg</t>
  </si>
  <si>
    <t>Sq. Feet</t>
  </si>
  <si>
    <t xml:space="preserve">   Total Weight x Length</t>
  </si>
  <si>
    <t xml:space="preserve">       Total Weight</t>
  </si>
  <si>
    <t>Key In</t>
  </si>
  <si>
    <t>a=</t>
  </si>
  <si>
    <t>A=</t>
  </si>
  <si>
    <t>B=</t>
  </si>
  <si>
    <t>b=</t>
  </si>
  <si>
    <t>a1=</t>
  </si>
  <si>
    <t>b1=</t>
  </si>
  <si>
    <t>c1=</t>
  </si>
  <si>
    <t>a2=</t>
  </si>
  <si>
    <t>b2=</t>
  </si>
  <si>
    <t>Brace Length w/ 2" Clr. (English)</t>
  </si>
  <si>
    <t xml:space="preserve">    Brace Length</t>
  </si>
  <si>
    <t>Brace Length W.P. to W.P (English)</t>
  </si>
  <si>
    <t>Tubular</t>
  </si>
  <si>
    <t>C=</t>
  </si>
  <si>
    <t>c2=</t>
  </si>
  <si>
    <t>a3=</t>
  </si>
  <si>
    <t>b3=</t>
  </si>
  <si>
    <t>c3=</t>
  </si>
  <si>
    <t>a4=</t>
  </si>
  <si>
    <t>b4=</t>
  </si>
  <si>
    <t>c4=</t>
  </si>
  <si>
    <t>Brace Length 1"Clr.to 2"Clr. (English)</t>
  </si>
  <si>
    <t>Nom.</t>
  </si>
  <si>
    <r>
      <t xml:space="preserve">Wall Thickness </t>
    </r>
    <r>
      <rPr>
        <b/>
        <sz val="12"/>
        <color indexed="10"/>
        <rFont val="Arial"/>
        <family val="2"/>
      </rPr>
      <t>INCHES</t>
    </r>
  </si>
  <si>
    <t xml:space="preserve">       F</t>
  </si>
  <si>
    <t>Light</t>
  </si>
  <si>
    <t>Sch.</t>
  </si>
  <si>
    <t>A</t>
  </si>
  <si>
    <t>B</t>
  </si>
  <si>
    <t>K</t>
  </si>
  <si>
    <t>V</t>
  </si>
  <si>
    <t>E</t>
  </si>
  <si>
    <t>G</t>
  </si>
  <si>
    <t>Std</t>
  </si>
  <si>
    <t>XX-Stg</t>
  </si>
  <si>
    <t>IN</t>
  </si>
  <si>
    <t>ASA</t>
  </si>
  <si>
    <t>MSS</t>
  </si>
  <si>
    <t>2 1/16</t>
  </si>
  <si>
    <t>2 7/16</t>
  </si>
  <si>
    <t>3 3/16</t>
  </si>
  <si>
    <t>3 15/16</t>
  </si>
  <si>
    <t>6 3/16</t>
  </si>
  <si>
    <t>7 5/16</t>
  </si>
  <si>
    <t>9 5/16</t>
  </si>
  <si>
    <t>12 5/16</t>
  </si>
  <si>
    <r>
      <t xml:space="preserve">Wall Thickness </t>
    </r>
    <r>
      <rPr>
        <b/>
        <sz val="12"/>
        <color indexed="10"/>
        <rFont val="Arial"/>
        <family val="2"/>
      </rPr>
      <t>millimeters</t>
    </r>
  </si>
  <si>
    <t>English Units</t>
  </si>
  <si>
    <t>Outlet</t>
  </si>
  <si>
    <t>M</t>
  </si>
  <si>
    <t>H</t>
  </si>
  <si>
    <t>|</t>
  </si>
  <si>
    <t>Metric Units</t>
  </si>
  <si>
    <t xml:space="preserve">        150 # FLANGE WEIGHTS</t>
  </si>
  <si>
    <t>150#</t>
  </si>
  <si>
    <t>WNFLG.</t>
  </si>
  <si>
    <t>SO-FLG.</t>
  </si>
  <si>
    <t>Thrd-FLG.</t>
  </si>
  <si>
    <t>Lap-FLG.</t>
  </si>
  <si>
    <t>Blind-FLG.</t>
  </si>
  <si>
    <t>Wt.</t>
  </si>
  <si>
    <t>Lbs</t>
  </si>
  <si>
    <t xml:space="preserve">        300 # FLANGE WEIGHTS</t>
  </si>
  <si>
    <t>300#</t>
  </si>
  <si>
    <t xml:space="preserve">        400 # FLANGE WEIGHTS</t>
  </si>
  <si>
    <t>400 #</t>
  </si>
  <si>
    <t xml:space="preserve">        600 # FLANGE WEIGHTS</t>
  </si>
  <si>
    <t>600 #</t>
  </si>
  <si>
    <t xml:space="preserve">       900 # FLANGE WEIGHTS</t>
  </si>
  <si>
    <t>900 #</t>
  </si>
  <si>
    <t xml:space="preserve">      1500 # FLANGE WEIGHTS</t>
  </si>
  <si>
    <t>1500 #</t>
  </si>
  <si>
    <t xml:space="preserve">      2500 # FLANGE WEIGHTS</t>
  </si>
  <si>
    <t>2500 #</t>
  </si>
  <si>
    <t xml:space="preserve">         Y</t>
  </si>
  <si>
    <t>No. &amp;</t>
  </si>
  <si>
    <t>O</t>
  </si>
  <si>
    <t>Weld</t>
  </si>
  <si>
    <t>Slip on</t>
  </si>
  <si>
    <t>Lap</t>
  </si>
  <si>
    <t>Size of</t>
  </si>
  <si>
    <t>INCHES</t>
  </si>
  <si>
    <t>Neck</t>
  </si>
  <si>
    <t>Thrd.</t>
  </si>
  <si>
    <t>Joint</t>
  </si>
  <si>
    <t>Circle</t>
  </si>
  <si>
    <t>Holes</t>
  </si>
  <si>
    <t>4 - 5/8</t>
  </si>
  <si>
    <t>4 - 16</t>
  </si>
  <si>
    <t>4-3/4</t>
  </si>
  <si>
    <t>4-19</t>
  </si>
  <si>
    <t>8-3/4</t>
  </si>
  <si>
    <t>8-19</t>
  </si>
  <si>
    <t>8-7/8</t>
  </si>
  <si>
    <t>8-22</t>
  </si>
  <si>
    <t>12-1</t>
  </si>
  <si>
    <t>12-25</t>
  </si>
  <si>
    <t>12-1 1/8</t>
  </si>
  <si>
    <t>12-29</t>
  </si>
  <si>
    <t>16-1 1/8</t>
  </si>
  <si>
    <t>16-29</t>
  </si>
  <si>
    <t>16-1 1/4</t>
  </si>
  <si>
    <t>16-32</t>
  </si>
  <si>
    <t>20-1 1/4</t>
  </si>
  <si>
    <t>20-32</t>
  </si>
  <si>
    <t>20-1 3/8</t>
  </si>
  <si>
    <t>20-35</t>
  </si>
  <si>
    <t>4 - 3/4</t>
  </si>
  <si>
    <t>4 - 19</t>
  </si>
  <si>
    <t>4 -7/8</t>
  </si>
  <si>
    <t>4 -22</t>
  </si>
  <si>
    <t>12-7/8</t>
  </si>
  <si>
    <t>12-22</t>
  </si>
  <si>
    <t>24-1 3/8</t>
  </si>
  <si>
    <t>24-35</t>
  </si>
  <si>
    <t>24-1 5/8</t>
  </si>
  <si>
    <t>24-41</t>
  </si>
  <si>
    <t>8-1</t>
  </si>
  <si>
    <t>8-25</t>
  </si>
  <si>
    <t>16-1 3/8</t>
  </si>
  <si>
    <t>16-35</t>
  </si>
  <si>
    <t>20-1 1/2</t>
  </si>
  <si>
    <t>20-38</t>
  </si>
  <si>
    <t>24-1 1/2</t>
  </si>
  <si>
    <t>24-38</t>
  </si>
  <si>
    <t>24-1 7/8</t>
  </si>
  <si>
    <t>24-48</t>
  </si>
  <si>
    <t>8-1 1/8</t>
  </si>
  <si>
    <t>8-29</t>
  </si>
  <si>
    <t>12-1 1/4</t>
  </si>
  <si>
    <t>12-32</t>
  </si>
  <si>
    <t>20-1 5/8</t>
  </si>
  <si>
    <t>20-41</t>
  </si>
  <si>
    <t>20-1 3/4</t>
  </si>
  <si>
    <t>20-44</t>
  </si>
  <si>
    <t>24-1 3/4</t>
  </si>
  <si>
    <t>24-44</t>
  </si>
  <si>
    <t>24-2</t>
  </si>
  <si>
    <t>24-51</t>
  </si>
  <si>
    <t>4 - 7/8</t>
  </si>
  <si>
    <t>4 - 22</t>
  </si>
  <si>
    <t>4 - 1</t>
  </si>
  <si>
    <t>4 - 25</t>
  </si>
  <si>
    <t>4 -1 1/8</t>
  </si>
  <si>
    <t>4 -29</t>
  </si>
  <si>
    <t>8-1 1/4</t>
  </si>
  <si>
    <t>8-32</t>
  </si>
  <si>
    <t>8-1 3/8</t>
  </si>
  <si>
    <t>8-35</t>
  </si>
  <si>
    <t>12-1 1/2</t>
  </si>
  <si>
    <t>12-38</t>
  </si>
  <si>
    <t>16-1 1/2</t>
  </si>
  <si>
    <t>16-38</t>
  </si>
  <si>
    <t>20-2</t>
  </si>
  <si>
    <t>20-51</t>
  </si>
  <si>
    <t>24-2 1/8</t>
  </si>
  <si>
    <t>24-54</t>
  </si>
  <si>
    <t>24-2 5/8</t>
  </si>
  <si>
    <t>24-67</t>
  </si>
  <si>
    <t>8-1 5/8</t>
  </si>
  <si>
    <t>8-41</t>
  </si>
  <si>
    <t>12-1 3/4</t>
  </si>
  <si>
    <t>12-44</t>
  </si>
  <si>
    <t>12-2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</si>
</sst>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00"/>
    <numFmt numFmtId="165" formatCode="0.0"/>
    <numFmt numFmtId="166" formatCode="0.0000"/>
    <numFmt numFmtId="167" formatCode="0.00000"/>
    <numFmt numFmtId="168" formatCode="0.0000_);[Red]\(0.0000\)"/>
  </numFmts>
  <fonts count="83" x14ac:knownFonts="1">
    <font>
      <sz val="10"/>
      <name val="Arial"/>
    </font>
    <font>
      <b/>
      <sz val="10"/>
      <color indexed="39"/>
      <name val="Arial"/>
      <family val="2"/>
    </font>
    <font>
      <b/>
      <sz val="10"/>
      <name val="Arial"/>
      <family val="2"/>
    </font>
    <font>
      <b/>
      <sz val="18"/>
      <color indexed="10"/>
      <name val="Arial"/>
      <family val="2"/>
    </font>
    <font>
      <b/>
      <sz val="10"/>
      <color indexed="12"/>
      <name val="Arial"/>
      <family val="2"/>
    </font>
    <font>
      <b/>
      <sz val="12"/>
      <name val="Arial"/>
      <family val="2"/>
    </font>
    <font>
      <b/>
      <sz val="14"/>
      <color indexed="12"/>
      <name val="Arial"/>
      <family val="2"/>
    </font>
    <font>
      <b/>
      <sz val="8"/>
      <color indexed="12"/>
      <name val="Arial"/>
      <family val="2"/>
    </font>
    <font>
      <sz val="8"/>
      <name val="Arial"/>
      <family val="2"/>
    </font>
    <font>
      <b/>
      <sz val="11"/>
      <color indexed="12"/>
      <name val="Arial"/>
      <family val="2"/>
    </font>
    <font>
      <b/>
      <sz val="12"/>
      <color indexed="10"/>
      <name val="Arial"/>
      <family val="2"/>
    </font>
    <font>
      <b/>
      <sz val="10"/>
      <color indexed="10"/>
      <name val="Arial"/>
      <family val="2"/>
    </font>
    <font>
      <b/>
      <sz val="12"/>
      <color indexed="12"/>
      <name val="Arial"/>
      <family val="2"/>
    </font>
    <font>
      <b/>
      <u/>
      <sz val="18"/>
      <color indexed="10"/>
      <name val="Arial"/>
      <family val="2"/>
    </font>
    <font>
      <sz val="10"/>
      <name val="Arial"/>
      <family val="2"/>
    </font>
    <font>
      <b/>
      <u/>
      <sz val="18"/>
      <color indexed="12"/>
      <name val="Arial"/>
      <family val="2"/>
    </font>
    <font>
      <b/>
      <u/>
      <sz val="10"/>
      <color indexed="10"/>
      <name val="Arial"/>
      <family val="2"/>
    </font>
    <font>
      <b/>
      <u/>
      <sz val="12"/>
      <color indexed="10"/>
      <name val="Arial"/>
      <family val="2"/>
    </font>
    <font>
      <sz val="12"/>
      <color indexed="10"/>
      <name val="Arial"/>
      <family val="2"/>
    </font>
    <font>
      <b/>
      <u/>
      <sz val="16"/>
      <color indexed="12"/>
      <name val="Arial"/>
      <family val="2"/>
    </font>
    <font>
      <b/>
      <sz val="14"/>
      <color indexed="10"/>
      <name val="Arial"/>
      <family val="2"/>
    </font>
    <font>
      <i/>
      <sz val="14"/>
      <name val="Arial"/>
      <family val="2"/>
    </font>
    <font>
      <b/>
      <i/>
      <sz val="14"/>
      <name val="Arial"/>
      <family val="2"/>
    </font>
    <font>
      <b/>
      <sz val="14"/>
      <name val="Arial"/>
      <family val="2"/>
    </font>
    <font>
      <i/>
      <sz val="10"/>
      <name val="Arial"/>
      <family val="2"/>
    </font>
    <font>
      <b/>
      <i/>
      <sz val="10"/>
      <color indexed="10"/>
      <name val="Arial"/>
      <family val="2"/>
    </font>
    <font>
      <b/>
      <i/>
      <sz val="14"/>
      <color indexed="10"/>
      <name val="Arial"/>
      <family val="2"/>
    </font>
    <font>
      <b/>
      <i/>
      <u/>
      <sz val="20"/>
      <color indexed="12"/>
      <name val="Arial"/>
      <family val="2"/>
    </font>
    <font>
      <b/>
      <i/>
      <sz val="12"/>
      <name val="Arial"/>
      <family val="2"/>
    </font>
    <font>
      <b/>
      <i/>
      <u/>
      <sz val="14"/>
      <name val="Arial"/>
      <family val="2"/>
    </font>
    <font>
      <b/>
      <i/>
      <u/>
      <sz val="12"/>
      <color indexed="10"/>
      <name val="Arial"/>
      <family val="2"/>
    </font>
    <font>
      <b/>
      <sz val="9"/>
      <color indexed="12"/>
      <name val="Arial"/>
      <family val="2"/>
    </font>
    <font>
      <b/>
      <sz val="11"/>
      <name val="Arial"/>
      <family val="2"/>
    </font>
    <font>
      <b/>
      <sz val="11"/>
      <color indexed="10"/>
      <name val="Arial"/>
      <family val="2"/>
    </font>
    <font>
      <sz val="8"/>
      <color indexed="81"/>
      <name val="Tahoma"/>
    </font>
    <font>
      <b/>
      <sz val="8"/>
      <color indexed="81"/>
      <name val="Tahoma"/>
    </font>
    <font>
      <b/>
      <sz val="10"/>
      <color indexed="81"/>
      <name val="Tahoma"/>
      <family val="2"/>
    </font>
    <font>
      <b/>
      <sz val="10"/>
      <color indexed="10"/>
      <name val="Tahoma"/>
      <family val="2"/>
    </font>
    <font>
      <b/>
      <i/>
      <sz val="12"/>
      <color indexed="10"/>
      <name val="Arial"/>
      <family val="2"/>
    </font>
    <font>
      <b/>
      <i/>
      <sz val="16"/>
      <color indexed="12"/>
      <name val="Arial"/>
      <family val="2"/>
    </font>
    <font>
      <b/>
      <sz val="12"/>
      <color indexed="12"/>
      <name val="Tahoma"/>
      <family val="2"/>
    </font>
    <font>
      <b/>
      <i/>
      <sz val="10"/>
      <color indexed="12"/>
      <name val="Arial"/>
      <family val="2"/>
    </font>
    <font>
      <b/>
      <sz val="12"/>
      <color indexed="10"/>
      <name val="Tahoma"/>
      <family val="2"/>
    </font>
    <font>
      <b/>
      <sz val="12"/>
      <color indexed="81"/>
      <name val="Tahoma"/>
      <family val="2"/>
    </font>
    <font>
      <b/>
      <i/>
      <u/>
      <sz val="16"/>
      <color indexed="12"/>
      <name val="Arial"/>
      <family val="2"/>
    </font>
    <font>
      <b/>
      <sz val="8"/>
      <name val="Arial"/>
      <family val="2"/>
    </font>
    <font>
      <b/>
      <sz val="10"/>
      <color indexed="58"/>
      <name val="Arial"/>
      <family val="2"/>
    </font>
    <font>
      <b/>
      <sz val="10"/>
      <color indexed="20"/>
      <name val="Arial"/>
      <family val="2"/>
    </font>
    <font>
      <b/>
      <sz val="8"/>
      <color indexed="10"/>
      <name val="Arial"/>
      <family val="2"/>
    </font>
    <font>
      <b/>
      <sz val="9"/>
      <color indexed="10"/>
      <name val="Arial"/>
      <family val="2"/>
    </font>
    <font>
      <b/>
      <sz val="9"/>
      <name val="Arial"/>
      <family val="2"/>
    </font>
    <font>
      <b/>
      <sz val="9"/>
      <color indexed="58"/>
      <name val="Arial"/>
      <family val="2"/>
    </font>
    <font>
      <b/>
      <sz val="9"/>
      <color indexed="20"/>
      <name val="Arial"/>
      <family val="2"/>
    </font>
    <font>
      <b/>
      <sz val="10"/>
      <color indexed="17"/>
      <name val="Arial"/>
      <family val="2"/>
    </font>
    <font>
      <b/>
      <sz val="9"/>
      <color indexed="17"/>
      <name val="Arial"/>
      <family val="2"/>
    </font>
    <font>
      <b/>
      <sz val="14"/>
      <color indexed="20"/>
      <name val="Arial"/>
      <family val="2"/>
    </font>
    <font>
      <sz val="10"/>
      <color indexed="12"/>
      <name val="Arial"/>
      <family val="2"/>
    </font>
    <font>
      <b/>
      <sz val="14"/>
      <color indexed="14"/>
      <name val="Arial"/>
      <family val="2"/>
    </font>
    <font>
      <b/>
      <sz val="10"/>
      <color indexed="14"/>
      <name val="Arial"/>
      <family val="2"/>
    </font>
    <font>
      <sz val="10"/>
      <color indexed="14"/>
      <name val="Arial"/>
      <family val="2"/>
    </font>
    <font>
      <b/>
      <sz val="16"/>
      <name val="Arial"/>
      <family val="2"/>
    </font>
    <font>
      <b/>
      <sz val="8"/>
      <color indexed="20"/>
      <name val="Arial"/>
      <family val="2"/>
    </font>
    <font>
      <b/>
      <sz val="8"/>
      <color indexed="58"/>
      <name val="Arial"/>
      <family val="2"/>
    </font>
    <font>
      <b/>
      <sz val="8"/>
      <color indexed="17"/>
      <name val="Arial"/>
      <family val="2"/>
    </font>
    <font>
      <b/>
      <i/>
      <u/>
      <sz val="18"/>
      <color indexed="12"/>
      <name val="Arial"/>
      <family val="2"/>
    </font>
    <font>
      <b/>
      <i/>
      <u/>
      <sz val="14"/>
      <color indexed="12"/>
      <name val="Arial"/>
      <family val="2"/>
    </font>
    <font>
      <b/>
      <i/>
      <sz val="10"/>
      <name val="Arial"/>
      <family val="2"/>
    </font>
    <font>
      <b/>
      <i/>
      <u/>
      <sz val="10"/>
      <name val="Arial"/>
      <family val="2"/>
    </font>
    <font>
      <i/>
      <u/>
      <sz val="16"/>
      <color indexed="12"/>
      <name val="Arial"/>
      <family val="2"/>
    </font>
    <font>
      <b/>
      <i/>
      <sz val="12"/>
      <color indexed="12"/>
      <name val="Arial"/>
      <family val="2"/>
    </font>
    <font>
      <b/>
      <i/>
      <sz val="10"/>
      <color indexed="17"/>
      <name val="Arial"/>
      <family val="2"/>
    </font>
    <font>
      <b/>
      <i/>
      <u/>
      <sz val="12"/>
      <color indexed="12"/>
      <name val="Arial"/>
      <family val="2"/>
    </font>
    <font>
      <b/>
      <i/>
      <u/>
      <sz val="10"/>
      <color indexed="17"/>
      <name val="Arial"/>
      <family val="2"/>
    </font>
    <font>
      <b/>
      <i/>
      <u/>
      <sz val="10"/>
      <color indexed="10"/>
      <name val="Arial"/>
      <family val="2"/>
    </font>
    <font>
      <b/>
      <i/>
      <u/>
      <sz val="14"/>
      <color indexed="10"/>
      <name val="Arial"/>
      <family val="2"/>
    </font>
    <font>
      <sz val="10"/>
      <color indexed="10"/>
      <name val="Arial"/>
      <family val="2"/>
    </font>
    <font>
      <b/>
      <sz val="8"/>
      <color indexed="12"/>
      <name val="Tahoma"/>
      <family val="2"/>
    </font>
    <font>
      <b/>
      <u/>
      <sz val="14"/>
      <name val="Arial"/>
      <family val="2"/>
    </font>
    <font>
      <b/>
      <u/>
      <sz val="10"/>
      <name val="Arial"/>
      <family val="2"/>
    </font>
    <font>
      <i/>
      <sz val="10"/>
      <color indexed="12"/>
      <name val="Arial"/>
      <family val="2"/>
    </font>
    <font>
      <sz val="14"/>
      <name val="Arial"/>
      <family val="2"/>
    </font>
    <font>
      <sz val="9"/>
      <name val="Arial"/>
      <family val="2"/>
    </font>
    <font>
      <sz val="12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41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6"/>
        <bgColor indexed="64"/>
      </patternFill>
    </fill>
  </fills>
  <borders count="19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 diagonalUp="1" diagonalDown="1">
      <left style="thin">
        <color indexed="64"/>
      </left>
      <right style="thin">
        <color indexed="64"/>
      </right>
      <top/>
      <bottom/>
      <diagonal style="thin">
        <color indexed="64"/>
      </diagonal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 diagonalUp="1" diagonalDown="1">
      <left style="thin">
        <color indexed="64"/>
      </left>
      <right style="thin">
        <color indexed="64"/>
      </right>
      <top/>
      <bottom style="thick">
        <color indexed="64"/>
      </bottom>
      <diagonal style="thin">
        <color indexed="64"/>
      </diagonal>
    </border>
    <border>
      <left/>
      <right/>
      <top/>
      <bottom style="thick">
        <color indexed="64"/>
      </bottom>
      <diagonal/>
    </border>
    <border diagonalUp="1" diagonalDown="1">
      <left style="thin">
        <color indexed="64"/>
      </left>
      <right style="thin">
        <color indexed="64"/>
      </right>
      <top/>
      <bottom style="thin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 style="thin">
        <color indexed="64"/>
      </diagonal>
    </border>
    <border diagonalUp="1" diagonalDown="1"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 style="thin">
        <color indexed="64"/>
      </diagonal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 diagonalUp="1" diagonalDown="1">
      <left/>
      <right style="thin">
        <color indexed="64"/>
      </right>
      <top style="thick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 diagonalUp="1" diagonalDown="1">
      <left style="thin">
        <color indexed="64"/>
      </left>
      <right style="thick">
        <color indexed="64"/>
      </right>
      <top/>
      <bottom style="thin">
        <color indexed="64"/>
      </bottom>
      <diagonal style="thin">
        <color indexed="64"/>
      </diagonal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 diagonalUp="1" diagonalDown="1"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 style="thin">
        <color indexed="64"/>
      </diagonal>
    </border>
    <border diagonalUp="1" diagonalDown="1"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 diagonalDown="1"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 style="thin">
        <color indexed="64"/>
      </diagonal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 diagonalUp="1" diagonalDown="1"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 style="thin">
        <color indexed="64"/>
      </diagonal>
    </border>
    <border>
      <left style="thick">
        <color indexed="12"/>
      </left>
      <right/>
      <top/>
      <bottom/>
      <diagonal/>
    </border>
    <border>
      <left/>
      <right/>
      <top/>
      <bottom style="thick">
        <color indexed="12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10"/>
      </left>
      <right style="double">
        <color indexed="10"/>
      </right>
      <top style="double">
        <color indexed="10"/>
      </top>
      <bottom style="double">
        <color indexed="10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12"/>
      </left>
      <right style="double">
        <color indexed="12"/>
      </right>
      <top style="double">
        <color indexed="12"/>
      </top>
      <bottom style="double">
        <color indexed="12"/>
      </bottom>
      <diagonal/>
    </border>
    <border>
      <left style="double">
        <color indexed="10"/>
      </left>
      <right style="double">
        <color indexed="10"/>
      </right>
      <top/>
      <bottom style="double">
        <color indexed="10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12"/>
      </left>
      <right/>
      <top style="double">
        <color indexed="12"/>
      </top>
      <bottom/>
      <diagonal/>
    </border>
    <border>
      <left/>
      <right style="double">
        <color indexed="12"/>
      </right>
      <top style="double">
        <color indexed="12"/>
      </top>
      <bottom/>
      <diagonal/>
    </border>
    <border>
      <left style="double">
        <color indexed="12"/>
      </left>
      <right style="double">
        <color indexed="12"/>
      </right>
      <top style="double">
        <color indexed="12"/>
      </top>
      <bottom/>
      <diagonal/>
    </border>
    <border>
      <left style="double">
        <color indexed="12"/>
      </left>
      <right/>
      <top/>
      <bottom/>
      <diagonal/>
    </border>
    <border>
      <left/>
      <right style="double">
        <color indexed="12"/>
      </right>
      <top/>
      <bottom/>
      <diagonal/>
    </border>
    <border>
      <left style="double">
        <color indexed="12"/>
      </left>
      <right style="double">
        <color indexed="12"/>
      </right>
      <top/>
      <bottom/>
      <diagonal/>
    </border>
    <border>
      <left style="double">
        <color indexed="12"/>
      </left>
      <right/>
      <top/>
      <bottom style="double">
        <color indexed="12"/>
      </bottom>
      <diagonal/>
    </border>
    <border>
      <left/>
      <right style="double">
        <color indexed="12"/>
      </right>
      <top/>
      <bottom style="double">
        <color indexed="12"/>
      </bottom>
      <diagonal/>
    </border>
    <border>
      <left style="double">
        <color indexed="12"/>
      </left>
      <right style="double">
        <color indexed="12"/>
      </right>
      <top/>
      <bottom style="double">
        <color indexed="12"/>
      </bottom>
      <diagonal/>
    </border>
    <border>
      <left style="double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/>
      <right style="medium">
        <color indexed="64"/>
      </right>
      <top style="thick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/>
      <top style="thick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384">
    <xf numFmtId="0" fontId="0" fillId="0" borderId="0" xfId="0"/>
    <xf numFmtId="0" fontId="0" fillId="0" borderId="0" xfId="0" applyAlignment="1">
      <alignment horizontal="center"/>
    </xf>
    <xf numFmtId="13" fontId="0" fillId="0" borderId="1" xfId="0" applyNumberFormat="1" applyBorder="1" applyAlignment="1">
      <alignment horizontal="center"/>
    </xf>
    <xf numFmtId="13" fontId="0" fillId="0" borderId="2" xfId="0" applyNumberFormat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13" fontId="0" fillId="2" borderId="3" xfId="0" applyNumberFormat="1" applyFill="1" applyBorder="1" applyAlignment="1">
      <alignment horizontal="center"/>
    </xf>
    <xf numFmtId="13" fontId="0" fillId="2" borderId="1" xfId="0" applyNumberFormat="1" applyFill="1" applyBorder="1" applyAlignment="1">
      <alignment horizontal="center"/>
    </xf>
    <xf numFmtId="0" fontId="1" fillId="0" borderId="4" xfId="0" applyFont="1" applyBorder="1" applyAlignment="1">
      <alignment horizontal="center"/>
    </xf>
    <xf numFmtId="13" fontId="0" fillId="0" borderId="4" xfId="0" applyNumberFormat="1" applyBorder="1" applyAlignment="1">
      <alignment horizontal="center"/>
    </xf>
    <xf numFmtId="13" fontId="0" fillId="0" borderId="5" xfId="0" applyNumberFormat="1" applyBorder="1" applyAlignment="1">
      <alignment horizontal="center"/>
    </xf>
    <xf numFmtId="12" fontId="0" fillId="0" borderId="4" xfId="0" applyNumberFormat="1" applyBorder="1" applyAlignment="1">
      <alignment horizontal="center"/>
    </xf>
    <xf numFmtId="12" fontId="0" fillId="0" borderId="2" xfId="0" applyNumberFormat="1" applyBorder="1" applyAlignment="1">
      <alignment horizontal="center"/>
    </xf>
    <xf numFmtId="0" fontId="1" fillId="0" borderId="3" xfId="0" applyFont="1" applyBorder="1" applyAlignment="1">
      <alignment horizontal="center"/>
    </xf>
    <xf numFmtId="12" fontId="0" fillId="0" borderId="3" xfId="0" applyNumberFormat="1" applyBorder="1" applyAlignment="1">
      <alignment horizontal="center"/>
    </xf>
    <xf numFmtId="13" fontId="0" fillId="0" borderId="3" xfId="0" applyNumberFormat="1" applyBorder="1" applyAlignment="1">
      <alignment horizontal="center"/>
    </xf>
    <xf numFmtId="13" fontId="0" fillId="0" borderId="0" xfId="0" applyNumberFormat="1"/>
    <xf numFmtId="13" fontId="2" fillId="0" borderId="1" xfId="0" applyNumberFormat="1" applyFont="1" applyBorder="1" applyAlignment="1">
      <alignment horizontal="center"/>
    </xf>
    <xf numFmtId="0" fontId="2" fillId="0" borderId="0" xfId="0" applyFont="1"/>
    <xf numFmtId="0" fontId="1" fillId="3" borderId="3" xfId="0" applyFont="1" applyFill="1" applyBorder="1" applyAlignment="1">
      <alignment horizontal="center"/>
    </xf>
    <xf numFmtId="13" fontId="0" fillId="3" borderId="1" xfId="0" applyNumberFormat="1" applyFill="1" applyBorder="1" applyAlignment="1">
      <alignment horizontal="center"/>
    </xf>
    <xf numFmtId="13" fontId="0" fillId="3" borderId="3" xfId="0" applyNumberFormat="1" applyFill="1" applyBorder="1" applyAlignment="1">
      <alignment horizontal="center"/>
    </xf>
    <xf numFmtId="13" fontId="0" fillId="3" borderId="6" xfId="0" applyNumberFormat="1" applyFill="1" applyBorder="1" applyAlignment="1">
      <alignment horizontal="center"/>
    </xf>
    <xf numFmtId="13" fontId="0" fillId="3" borderId="7" xfId="0" applyNumberFormat="1" applyFill="1" applyBorder="1" applyAlignment="1">
      <alignment horizontal="center"/>
    </xf>
    <xf numFmtId="13" fontId="0" fillId="3" borderId="1" xfId="0" quotePrefix="1" applyNumberFormat="1" applyFill="1" applyBorder="1" applyAlignment="1">
      <alignment horizontal="center"/>
    </xf>
    <xf numFmtId="13" fontId="0" fillId="3" borderId="3" xfId="0" quotePrefix="1" applyNumberFormat="1" applyFill="1" applyBorder="1" applyAlignment="1">
      <alignment horizontal="center"/>
    </xf>
    <xf numFmtId="0" fontId="3" fillId="0" borderId="0" xfId="0" applyFont="1"/>
    <xf numFmtId="0" fontId="4" fillId="0" borderId="3" xfId="0" applyFont="1" applyBorder="1"/>
    <xf numFmtId="0" fontId="6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0" fontId="5" fillId="0" borderId="0" xfId="0" applyFont="1"/>
    <xf numFmtId="0" fontId="7" fillId="0" borderId="0" xfId="0" applyFont="1" applyAlignment="1">
      <alignment horizontal="left"/>
    </xf>
    <xf numFmtId="0" fontId="8" fillId="0" borderId="0" xfId="0" applyFont="1"/>
    <xf numFmtId="0" fontId="7" fillId="0" borderId="0" xfId="0" applyFont="1" applyAlignment="1">
      <alignment horizontal="right"/>
    </xf>
    <xf numFmtId="13" fontId="2" fillId="0" borderId="0" xfId="0" applyNumberFormat="1" applyFont="1" applyBorder="1"/>
    <xf numFmtId="13" fontId="2" fillId="0" borderId="0" xfId="0" applyNumberFormat="1" applyFont="1" applyBorder="1" applyAlignment="1">
      <alignment horizontal="center"/>
    </xf>
    <xf numFmtId="0" fontId="10" fillId="0" borderId="0" xfId="0" applyFont="1"/>
    <xf numFmtId="13" fontId="2" fillId="2" borderId="8" xfId="0" applyNumberFormat="1" applyFont="1" applyFill="1" applyBorder="1"/>
    <xf numFmtId="13" fontId="2" fillId="2" borderId="9" xfId="0" applyNumberFormat="1" applyFont="1" applyFill="1" applyBorder="1"/>
    <xf numFmtId="13" fontId="2" fillId="2" borderId="1" xfId="0" applyNumberFormat="1" applyFont="1" applyFill="1" applyBorder="1"/>
    <xf numFmtId="13" fontId="2" fillId="2" borderId="10" xfId="0" applyNumberFormat="1" applyFont="1" applyFill="1" applyBorder="1"/>
    <xf numFmtId="0" fontId="9" fillId="2" borderId="11" xfId="0" applyFont="1" applyFill="1" applyBorder="1" applyAlignment="1">
      <alignment horizontal="center"/>
    </xf>
    <xf numFmtId="0" fontId="9" fillId="2" borderId="12" xfId="0" applyFont="1" applyFill="1" applyBorder="1" applyAlignment="1">
      <alignment horizontal="center"/>
    </xf>
    <xf numFmtId="13" fontId="2" fillId="2" borderId="13" xfId="0" applyNumberFormat="1" applyFont="1" applyFill="1" applyBorder="1"/>
    <xf numFmtId="0" fontId="9" fillId="2" borderId="14" xfId="0" applyFont="1" applyFill="1" applyBorder="1" applyAlignment="1">
      <alignment horizontal="center"/>
    </xf>
    <xf numFmtId="13" fontId="2" fillId="2" borderId="15" xfId="0" applyNumberFormat="1" applyFont="1" applyFill="1" applyBorder="1"/>
    <xf numFmtId="13" fontId="2" fillId="2" borderId="16" xfId="0" applyNumberFormat="1" applyFont="1" applyFill="1" applyBorder="1"/>
    <xf numFmtId="13" fontId="2" fillId="2" borderId="16" xfId="0" applyNumberFormat="1" applyFont="1" applyFill="1" applyBorder="1" applyAlignment="1">
      <alignment horizontal="center"/>
    </xf>
    <xf numFmtId="13" fontId="2" fillId="2" borderId="17" xfId="0" applyNumberFormat="1" applyFont="1" applyFill="1" applyBorder="1"/>
    <xf numFmtId="13" fontId="2" fillId="2" borderId="9" xfId="0" applyNumberFormat="1" applyFont="1" applyFill="1" applyBorder="1" applyAlignment="1">
      <alignment horizontal="center"/>
    </xf>
    <xf numFmtId="13" fontId="2" fillId="2" borderId="18" xfId="0" applyNumberFormat="1" applyFont="1" applyFill="1" applyBorder="1" applyAlignment="1">
      <alignment horizontal="center"/>
    </xf>
    <xf numFmtId="0" fontId="2" fillId="2" borderId="9" xfId="0" applyNumberFormat="1" applyFont="1" applyFill="1" applyBorder="1" applyAlignment="1">
      <alignment horizontal="center"/>
    </xf>
    <xf numFmtId="0" fontId="2" fillId="2" borderId="1" xfId="0" applyNumberFormat="1" applyFont="1" applyFill="1" applyBorder="1" applyAlignment="1">
      <alignment horizontal="center"/>
    </xf>
    <xf numFmtId="0" fontId="2" fillId="2" borderId="15" xfId="0" applyNumberFormat="1" applyFont="1" applyFill="1" applyBorder="1" applyAlignment="1">
      <alignment horizontal="center"/>
    </xf>
    <xf numFmtId="0" fontId="2" fillId="2" borderId="16" xfId="0" applyNumberFormat="1" applyFont="1" applyFill="1" applyBorder="1" applyAlignment="1">
      <alignment horizontal="center"/>
    </xf>
    <xf numFmtId="0" fontId="10" fillId="2" borderId="19" xfId="0" applyNumberFormat="1" applyFont="1" applyFill="1" applyBorder="1" applyAlignment="1">
      <alignment horizontal="center"/>
    </xf>
    <xf numFmtId="13" fontId="10" fillId="2" borderId="19" xfId="0" applyNumberFormat="1" applyFont="1" applyFill="1" applyBorder="1" applyAlignment="1">
      <alignment horizontal="center"/>
    </xf>
    <xf numFmtId="0" fontId="10" fillId="2" borderId="20" xfId="0" applyNumberFormat="1" applyFont="1" applyFill="1" applyBorder="1" applyAlignment="1">
      <alignment horizontal="center"/>
    </xf>
    <xf numFmtId="0" fontId="4" fillId="0" borderId="21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12" fillId="4" borderId="22" xfId="0" applyFont="1" applyFill="1" applyBorder="1" applyAlignment="1">
      <alignment horizontal="center"/>
    </xf>
    <xf numFmtId="0" fontId="12" fillId="4" borderId="23" xfId="0" applyFont="1" applyFill="1" applyBorder="1" applyAlignment="1">
      <alignment horizontal="center"/>
    </xf>
    <xf numFmtId="0" fontId="12" fillId="4" borderId="24" xfId="0" applyFont="1" applyFill="1" applyBorder="1" applyAlignment="1">
      <alignment horizontal="center"/>
    </xf>
    <xf numFmtId="0" fontId="12" fillId="4" borderId="25" xfId="0" applyFont="1" applyFill="1" applyBorder="1" applyAlignment="1">
      <alignment horizontal="center"/>
    </xf>
    <xf numFmtId="0" fontId="12" fillId="4" borderId="26" xfId="0" applyFont="1" applyFill="1" applyBorder="1" applyAlignment="1">
      <alignment horizontal="center"/>
    </xf>
    <xf numFmtId="13" fontId="2" fillId="0" borderId="8" xfId="0" applyNumberFormat="1" applyFont="1" applyBorder="1" applyAlignment="1">
      <alignment horizontal="center"/>
    </xf>
    <xf numFmtId="2" fontId="2" fillId="0" borderId="27" xfId="0" applyNumberFormat="1" applyFont="1" applyBorder="1" applyAlignment="1">
      <alignment horizontal="center"/>
    </xf>
    <xf numFmtId="2" fontId="2" fillId="0" borderId="28" xfId="0" applyNumberFormat="1" applyFont="1" applyBorder="1" applyAlignment="1">
      <alignment horizontal="center"/>
    </xf>
    <xf numFmtId="0" fontId="4" fillId="2" borderId="3" xfId="0" applyFont="1" applyFill="1" applyBorder="1" applyAlignment="1">
      <alignment horizontal="center"/>
    </xf>
    <xf numFmtId="13" fontId="4" fillId="0" borderId="8" xfId="0" applyNumberFormat="1" applyFont="1" applyBorder="1"/>
    <xf numFmtId="13" fontId="4" fillId="0" borderId="3" xfId="0" applyNumberFormat="1" applyFont="1" applyBorder="1"/>
    <xf numFmtId="13" fontId="4" fillId="4" borderId="3" xfId="0" applyNumberFormat="1" applyFont="1" applyFill="1" applyBorder="1"/>
    <xf numFmtId="0" fontId="0" fillId="4" borderId="1" xfId="0" applyFill="1" applyBorder="1" applyAlignment="1">
      <alignment horizontal="center"/>
    </xf>
    <xf numFmtId="0" fontId="0" fillId="4" borderId="28" xfId="0" applyFill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28" xfId="0" applyFont="1" applyBorder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2" fillId="4" borderId="10" xfId="0" applyFont="1" applyFill="1" applyBorder="1" applyAlignment="1">
      <alignment horizontal="center"/>
    </xf>
    <xf numFmtId="0" fontId="2" fillId="4" borderId="28" xfId="0" applyFont="1" applyFill="1" applyBorder="1" applyAlignment="1">
      <alignment horizontal="center"/>
    </xf>
    <xf numFmtId="0" fontId="2" fillId="0" borderId="29" xfId="0" applyFont="1" applyBorder="1" applyAlignment="1">
      <alignment horizontal="center"/>
    </xf>
    <xf numFmtId="164" fontId="2" fillId="0" borderId="28" xfId="0" applyNumberFormat="1" applyFont="1" applyBorder="1" applyAlignment="1">
      <alignment horizontal="center"/>
    </xf>
    <xf numFmtId="0" fontId="11" fillId="2" borderId="23" xfId="0" applyFont="1" applyFill="1" applyBorder="1" applyAlignment="1">
      <alignment horizontal="center"/>
    </xf>
    <xf numFmtId="0" fontId="11" fillId="2" borderId="25" xfId="0" applyFont="1" applyFill="1" applyBorder="1" applyAlignment="1">
      <alignment horizontal="center"/>
    </xf>
    <xf numFmtId="164" fontId="2" fillId="4" borderId="28" xfId="0" applyNumberFormat="1" applyFont="1" applyFill="1" applyBorder="1" applyAlignment="1">
      <alignment horizontal="center"/>
    </xf>
    <xf numFmtId="0" fontId="4" fillId="0" borderId="3" xfId="0" applyNumberFormat="1" applyFont="1" applyBorder="1" applyAlignment="1">
      <alignment horizontal="center"/>
    </xf>
    <xf numFmtId="0" fontId="2" fillId="0" borderId="10" xfId="0" quotePrefix="1" applyFont="1" applyBorder="1" applyAlignment="1">
      <alignment horizontal="center"/>
    </xf>
    <xf numFmtId="164" fontId="2" fillId="4" borderId="1" xfId="0" applyNumberFormat="1" applyFont="1" applyFill="1" applyBorder="1" applyAlignment="1">
      <alignment horizontal="center"/>
    </xf>
    <xf numFmtId="13" fontId="4" fillId="5" borderId="3" xfId="0" applyNumberFormat="1" applyFont="1" applyFill="1" applyBorder="1"/>
    <xf numFmtId="0" fontId="2" fillId="5" borderId="1" xfId="0" applyFont="1" applyFill="1" applyBorder="1" applyAlignment="1">
      <alignment horizontal="center"/>
    </xf>
    <xf numFmtId="0" fontId="2" fillId="5" borderId="28" xfId="0" applyFont="1" applyFill="1" applyBorder="1" applyAlignment="1">
      <alignment horizontal="center"/>
    </xf>
    <xf numFmtId="0" fontId="11" fillId="5" borderId="10" xfId="0" applyFont="1" applyFill="1" applyBorder="1" applyAlignment="1">
      <alignment horizontal="center"/>
    </xf>
    <xf numFmtId="0" fontId="11" fillId="0" borderId="10" xfId="0" applyFont="1" applyBorder="1" applyAlignment="1">
      <alignment horizontal="center"/>
    </xf>
    <xf numFmtId="2" fontId="2" fillId="4" borderId="28" xfId="0" applyNumberFormat="1" applyFont="1" applyFill="1" applyBorder="1" applyAlignment="1">
      <alignment horizontal="center"/>
    </xf>
    <xf numFmtId="0" fontId="4" fillId="4" borderId="3" xfId="0" applyNumberFormat="1" applyFont="1" applyFill="1" applyBorder="1" applyAlignment="1">
      <alignment horizontal="center"/>
    </xf>
    <xf numFmtId="0" fontId="4" fillId="0" borderId="29" xfId="0" applyNumberFormat="1" applyFont="1" applyBorder="1" applyAlignment="1">
      <alignment horizontal="center"/>
    </xf>
    <xf numFmtId="164" fontId="2" fillId="0" borderId="30" xfId="0" applyNumberFormat="1" applyFont="1" applyBorder="1" applyAlignment="1">
      <alignment horizontal="center"/>
    </xf>
    <xf numFmtId="0" fontId="2" fillId="0" borderId="30" xfId="0" applyFont="1" applyBorder="1" applyAlignment="1">
      <alignment horizontal="center"/>
    </xf>
    <xf numFmtId="0" fontId="4" fillId="0" borderId="1" xfId="0" applyNumberFormat="1" applyFont="1" applyBorder="1" applyAlignment="1">
      <alignment horizontal="center"/>
    </xf>
    <xf numFmtId="164" fontId="2" fillId="0" borderId="10" xfId="0" applyNumberFormat="1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2" fillId="0" borderId="1" xfId="0" quotePrefix="1" applyFont="1" applyBorder="1" applyAlignment="1">
      <alignment horizontal="center"/>
    </xf>
    <xf numFmtId="0" fontId="2" fillId="0" borderId="28" xfId="0" applyNumberFormat="1" applyFont="1" applyBorder="1" applyAlignment="1">
      <alignment horizontal="center"/>
    </xf>
    <xf numFmtId="0" fontId="2" fillId="4" borderId="28" xfId="0" applyNumberFormat="1" applyFont="1" applyFill="1" applyBorder="1" applyAlignment="1">
      <alignment horizontal="center"/>
    </xf>
    <xf numFmtId="164" fontId="2" fillId="0" borderId="8" xfId="0" applyNumberFormat="1" applyFont="1" applyBorder="1" applyAlignment="1">
      <alignment horizontal="center"/>
    </xf>
    <xf numFmtId="164" fontId="2" fillId="0" borderId="29" xfId="0" applyNumberFormat="1" applyFont="1" applyBorder="1" applyAlignment="1">
      <alignment horizontal="center"/>
    </xf>
    <xf numFmtId="164" fontId="2" fillId="0" borderId="31" xfId="0" applyNumberFormat="1" applyFont="1" applyBorder="1" applyAlignment="1">
      <alignment horizontal="center"/>
    </xf>
    <xf numFmtId="0" fontId="10" fillId="4" borderId="25" xfId="0" applyFont="1" applyFill="1" applyBorder="1"/>
    <xf numFmtId="0" fontId="4" fillId="4" borderId="23" xfId="0" applyFont="1" applyFill="1" applyBorder="1" applyAlignment="1">
      <alignment horizontal="center"/>
    </xf>
    <xf numFmtId="0" fontId="12" fillId="4" borderId="32" xfId="0" applyFont="1" applyFill="1" applyBorder="1" applyAlignment="1">
      <alignment horizontal="center"/>
    </xf>
    <xf numFmtId="0" fontId="4" fillId="4" borderId="32" xfId="0" applyFont="1" applyFill="1" applyBorder="1" applyAlignment="1">
      <alignment horizontal="center"/>
    </xf>
    <xf numFmtId="2" fontId="5" fillId="4" borderId="25" xfId="0" applyNumberFormat="1" applyFont="1" applyFill="1" applyBorder="1" applyAlignment="1">
      <alignment horizontal="center"/>
    </xf>
    <xf numFmtId="0" fontId="13" fillId="0" borderId="0" xfId="0" applyFont="1"/>
    <xf numFmtId="0" fontId="10" fillId="4" borderId="25" xfId="0" applyNumberFormat="1" applyFont="1" applyFill="1" applyBorder="1"/>
    <xf numFmtId="14" fontId="11" fillId="0" borderId="0" xfId="0" applyNumberFormat="1" applyFont="1" applyAlignment="1">
      <alignment horizontal="center"/>
    </xf>
    <xf numFmtId="18" fontId="11" fillId="0" borderId="0" xfId="0" applyNumberFormat="1" applyFont="1" applyAlignment="1">
      <alignment horizontal="center"/>
    </xf>
    <xf numFmtId="0" fontId="4" fillId="0" borderId="33" xfId="0" applyFont="1" applyBorder="1"/>
    <xf numFmtId="0" fontId="4" fillId="0" borderId="1" xfId="0" applyFont="1" applyBorder="1"/>
    <xf numFmtId="0" fontId="4" fillId="0" borderId="29" xfId="0" applyFont="1" applyBorder="1"/>
    <xf numFmtId="22" fontId="11" fillId="0" borderId="0" xfId="0" applyNumberFormat="1" applyFont="1" applyAlignment="1">
      <alignment horizontal="center"/>
    </xf>
    <xf numFmtId="2" fontId="5" fillId="4" borderId="25" xfId="0" applyNumberFormat="1" applyFont="1" applyFill="1" applyBorder="1" applyAlignment="1" applyProtection="1">
      <alignment horizontal="center"/>
      <protection hidden="1"/>
    </xf>
    <xf numFmtId="2" fontId="0" fillId="3" borderId="29" xfId="0" applyNumberFormat="1" applyFill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0" fontId="11" fillId="4" borderId="22" xfId="0" applyFont="1" applyFill="1" applyBorder="1" applyAlignment="1">
      <alignment horizontal="center"/>
    </xf>
    <xf numFmtId="0" fontId="11" fillId="4" borderId="34" xfId="0" applyFont="1" applyFill="1" applyBorder="1" applyAlignment="1">
      <alignment horizontal="center"/>
    </xf>
    <xf numFmtId="0" fontId="10" fillId="4" borderId="34" xfId="0" applyFont="1" applyFill="1" applyBorder="1" applyAlignment="1">
      <alignment horizontal="center"/>
    </xf>
    <xf numFmtId="0" fontId="10" fillId="4" borderId="25" xfId="0" applyFont="1" applyFill="1" applyBorder="1" applyAlignment="1">
      <alignment horizontal="center"/>
    </xf>
    <xf numFmtId="0" fontId="2" fillId="3" borderId="33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/>
    </xf>
    <xf numFmtId="0" fontId="1" fillId="3" borderId="4" xfId="0" applyFont="1" applyFill="1" applyBorder="1" applyAlignment="1">
      <alignment horizontal="center"/>
    </xf>
    <xf numFmtId="12" fontId="0" fillId="3" borderId="4" xfId="0" applyNumberFormat="1" applyFill="1" applyBorder="1" applyAlignment="1">
      <alignment horizontal="center"/>
    </xf>
    <xf numFmtId="13" fontId="0" fillId="3" borderId="5" xfId="0" applyNumberFormat="1" applyFill="1" applyBorder="1" applyAlignment="1">
      <alignment horizontal="center"/>
    </xf>
    <xf numFmtId="13" fontId="0" fillId="3" borderId="4" xfId="0" applyNumberFormat="1" applyFill="1" applyBorder="1" applyAlignment="1">
      <alignment horizontal="center"/>
    </xf>
    <xf numFmtId="13" fontId="0" fillId="3" borderId="29" xfId="0" applyNumberFormat="1" applyFill="1" applyBorder="1" applyAlignment="1">
      <alignment horizontal="center"/>
    </xf>
    <xf numFmtId="2" fontId="0" fillId="3" borderId="1" xfId="0" applyNumberFormat="1" applyFill="1" applyBorder="1" applyAlignment="1">
      <alignment horizontal="center"/>
    </xf>
    <xf numFmtId="0" fontId="0" fillId="3" borderId="0" xfId="0" applyFill="1"/>
    <xf numFmtId="0" fontId="4" fillId="3" borderId="33" xfId="0" applyFont="1" applyFill="1" applyBorder="1" applyAlignment="1">
      <alignment horizontal="center"/>
    </xf>
    <xf numFmtId="0" fontId="4" fillId="3" borderId="3" xfId="0" applyFont="1" applyFill="1" applyBorder="1" applyAlignment="1">
      <alignment horizontal="center"/>
    </xf>
    <xf numFmtId="13" fontId="14" fillId="3" borderId="33" xfId="0" applyNumberFormat="1" applyFont="1" applyFill="1" applyBorder="1" applyAlignment="1">
      <alignment horizontal="center"/>
    </xf>
    <xf numFmtId="13" fontId="14" fillId="3" borderId="3" xfId="0" applyNumberFormat="1" applyFont="1" applyFill="1" applyBorder="1" applyAlignment="1">
      <alignment horizontal="center"/>
    </xf>
    <xf numFmtId="13" fontId="14" fillId="3" borderId="29" xfId="0" applyNumberFormat="1" applyFont="1" applyFill="1" applyBorder="1" applyAlignment="1">
      <alignment horizontal="center"/>
    </xf>
    <xf numFmtId="13" fontId="14" fillId="3" borderId="1" xfId="0" applyNumberFormat="1" applyFont="1" applyFill="1" applyBorder="1" applyAlignment="1">
      <alignment horizontal="center"/>
    </xf>
    <xf numFmtId="0" fontId="4" fillId="6" borderId="8" xfId="0" applyFont="1" applyFill="1" applyBorder="1" applyAlignment="1">
      <alignment horizontal="center"/>
    </xf>
    <xf numFmtId="13" fontId="14" fillId="6" borderId="21" xfId="0" applyNumberFormat="1" applyFont="1" applyFill="1" applyBorder="1" applyAlignment="1">
      <alignment horizontal="center"/>
    </xf>
    <xf numFmtId="0" fontId="14" fillId="6" borderId="21" xfId="0" applyFont="1" applyFill="1" applyBorder="1" applyAlignment="1">
      <alignment horizontal="center"/>
    </xf>
    <xf numFmtId="13" fontId="14" fillId="6" borderId="8" xfId="0" applyNumberFormat="1" applyFont="1" applyFill="1" applyBorder="1" applyAlignment="1">
      <alignment horizontal="center"/>
    </xf>
    <xf numFmtId="0" fontId="2" fillId="6" borderId="21" xfId="0" applyFont="1" applyFill="1" applyBorder="1" applyAlignment="1">
      <alignment horizontal="center"/>
    </xf>
    <xf numFmtId="0" fontId="4" fillId="6" borderId="33" xfId="0" applyFont="1" applyFill="1" applyBorder="1" applyAlignment="1">
      <alignment horizontal="center"/>
    </xf>
    <xf numFmtId="13" fontId="14" fillId="6" borderId="33" xfId="0" applyNumberFormat="1" applyFont="1" applyFill="1" applyBorder="1" applyAlignment="1">
      <alignment horizontal="center"/>
    </xf>
    <xf numFmtId="13" fontId="14" fillId="6" borderId="29" xfId="0" applyNumberFormat="1" applyFont="1" applyFill="1" applyBorder="1" applyAlignment="1">
      <alignment horizontal="center"/>
    </xf>
    <xf numFmtId="0" fontId="2" fillId="6" borderId="33" xfId="0" applyFont="1" applyFill="1" applyBorder="1" applyAlignment="1">
      <alignment horizontal="center"/>
    </xf>
    <xf numFmtId="13" fontId="14" fillId="3" borderId="5" xfId="0" applyNumberFormat="1" applyFont="1" applyFill="1" applyBorder="1" applyAlignment="1">
      <alignment horizontal="center"/>
    </xf>
    <xf numFmtId="2" fontId="0" fillId="6" borderId="29" xfId="0" applyNumberFormat="1" applyFill="1" applyBorder="1" applyAlignment="1">
      <alignment horizontal="center"/>
    </xf>
    <xf numFmtId="0" fontId="1" fillId="6" borderId="3" xfId="0" applyFont="1" applyFill="1" applyBorder="1" applyAlignment="1">
      <alignment horizontal="center"/>
    </xf>
    <xf numFmtId="13" fontId="0" fillId="6" borderId="3" xfId="0" applyNumberFormat="1" applyFill="1" applyBorder="1" applyAlignment="1">
      <alignment horizontal="center"/>
    </xf>
    <xf numFmtId="13" fontId="0" fillId="6" borderId="1" xfId="0" applyNumberFormat="1" applyFill="1" applyBorder="1" applyAlignment="1">
      <alignment horizontal="center"/>
    </xf>
    <xf numFmtId="2" fontId="0" fillId="6" borderId="1" xfId="0" applyNumberFormat="1" applyFill="1" applyBorder="1" applyAlignment="1">
      <alignment horizontal="center"/>
    </xf>
    <xf numFmtId="0" fontId="1" fillId="3" borderId="33" xfId="0" applyFont="1" applyFill="1" applyBorder="1" applyAlignment="1">
      <alignment horizontal="center"/>
    </xf>
    <xf numFmtId="13" fontId="0" fillId="3" borderId="33" xfId="0" applyNumberFormat="1" applyFill="1" applyBorder="1" applyAlignment="1">
      <alignment horizontal="center"/>
    </xf>
    <xf numFmtId="0" fontId="1" fillId="6" borderId="33" xfId="0" applyFont="1" applyFill="1" applyBorder="1" applyAlignment="1">
      <alignment horizontal="center"/>
    </xf>
    <xf numFmtId="13" fontId="0" fillId="6" borderId="33" xfId="0" applyNumberFormat="1" applyFill="1" applyBorder="1" applyAlignment="1">
      <alignment horizontal="center"/>
    </xf>
    <xf numFmtId="13" fontId="0" fillId="6" borderId="29" xfId="0" applyNumberFormat="1" applyFill="1" applyBorder="1" applyAlignment="1">
      <alignment horizontal="center"/>
    </xf>
    <xf numFmtId="2" fontId="0" fillId="0" borderId="3" xfId="0" applyNumberFormat="1" applyBorder="1" applyAlignment="1">
      <alignment horizontal="center"/>
    </xf>
    <xf numFmtId="13" fontId="10" fillId="2" borderId="20" xfId="0" applyNumberFormat="1" applyFont="1" applyFill="1" applyBorder="1" applyAlignment="1">
      <alignment horizontal="center"/>
    </xf>
    <xf numFmtId="0" fontId="0" fillId="3" borderId="0" xfId="0" applyFill="1" applyBorder="1"/>
    <xf numFmtId="0" fontId="1" fillId="3" borderId="0" xfId="0" applyFont="1" applyFill="1" applyBorder="1" applyAlignment="1">
      <alignment horizontal="center"/>
    </xf>
    <xf numFmtId="13" fontId="0" fillId="3" borderId="0" xfId="0" applyNumberForma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13" fontId="2" fillId="0" borderId="29" xfId="0" applyNumberFormat="1" applyFont="1" applyBorder="1" applyAlignment="1">
      <alignment horizontal="center"/>
    </xf>
    <xf numFmtId="2" fontId="2" fillId="0" borderId="31" xfId="0" applyNumberFormat="1" applyFont="1" applyBorder="1" applyAlignment="1">
      <alignment horizontal="center"/>
    </xf>
    <xf numFmtId="0" fontId="1" fillId="6" borderId="4" xfId="0" applyFont="1" applyFill="1" applyBorder="1" applyAlignment="1">
      <alignment horizontal="center"/>
    </xf>
    <xf numFmtId="13" fontId="0" fillId="6" borderId="4" xfId="0" applyNumberFormat="1" applyFill="1" applyBorder="1" applyAlignment="1">
      <alignment horizontal="center"/>
    </xf>
    <xf numFmtId="13" fontId="0" fillId="6" borderId="5" xfId="0" applyNumberFormat="1" applyFill="1" applyBorder="1" applyAlignment="1">
      <alignment horizontal="center"/>
    </xf>
    <xf numFmtId="13" fontId="0" fillId="3" borderId="5" xfId="0" quotePrefix="1" applyNumberFormat="1" applyFill="1" applyBorder="1" applyAlignment="1">
      <alignment horizontal="center"/>
    </xf>
    <xf numFmtId="12" fontId="0" fillId="3" borderId="5" xfId="0" quotePrefix="1" applyNumberFormat="1" applyFill="1" applyBorder="1" applyAlignment="1">
      <alignment horizontal="center"/>
    </xf>
    <xf numFmtId="12" fontId="0" fillId="3" borderId="5" xfId="0" applyNumberFormat="1" applyFill="1" applyBorder="1" applyAlignment="1">
      <alignment horizontal="center"/>
    </xf>
    <xf numFmtId="13" fontId="0" fillId="3" borderId="29" xfId="0" quotePrefix="1" applyNumberFormat="1" applyFill="1" applyBorder="1" applyAlignment="1">
      <alignment horizontal="center"/>
    </xf>
    <xf numFmtId="13" fontId="0" fillId="3" borderId="2" xfId="0" applyNumberFormat="1" applyFill="1" applyBorder="1" applyAlignment="1">
      <alignment horizontal="center"/>
    </xf>
    <xf numFmtId="2" fontId="0" fillId="3" borderId="8" xfId="0" applyNumberFormat="1" applyFill="1" applyBorder="1" applyAlignment="1">
      <alignment horizontal="center"/>
    </xf>
    <xf numFmtId="13" fontId="2" fillId="3" borderId="5" xfId="0" quotePrefix="1" applyNumberFormat="1" applyFont="1" applyFill="1" applyBorder="1" applyAlignment="1">
      <alignment horizontal="center"/>
    </xf>
    <xf numFmtId="13" fontId="2" fillId="3" borderId="4" xfId="0" quotePrefix="1" applyNumberFormat="1" applyFont="1" applyFill="1" applyBorder="1" applyAlignment="1">
      <alignment horizontal="center"/>
    </xf>
    <xf numFmtId="13" fontId="2" fillId="3" borderId="4" xfId="0" applyNumberFormat="1" applyFont="1" applyFill="1" applyBorder="1" applyAlignment="1">
      <alignment horizontal="center"/>
    </xf>
    <xf numFmtId="13" fontId="2" fillId="3" borderId="1" xfId="0" quotePrefix="1" applyNumberFormat="1" applyFont="1" applyFill="1" applyBorder="1" applyAlignment="1">
      <alignment horizontal="center"/>
    </xf>
    <xf numFmtId="13" fontId="2" fillId="3" borderId="3" xfId="0" quotePrefix="1" applyNumberFormat="1" applyFont="1" applyFill="1" applyBorder="1" applyAlignment="1">
      <alignment horizontal="center"/>
    </xf>
    <xf numFmtId="12" fontId="0" fillId="3" borderId="2" xfId="0" applyNumberFormat="1" applyFill="1" applyBorder="1" applyAlignment="1">
      <alignment horizontal="center"/>
    </xf>
    <xf numFmtId="13" fontId="0" fillId="3" borderId="10" xfId="0" applyNumberFormat="1" applyFill="1" applyBorder="1" applyAlignment="1">
      <alignment horizontal="center"/>
    </xf>
    <xf numFmtId="13" fontId="0" fillId="3" borderId="4" xfId="0" quotePrefix="1" applyNumberFormat="1" applyFill="1" applyBorder="1" applyAlignment="1">
      <alignment horizontal="center"/>
    </xf>
    <xf numFmtId="12" fontId="0" fillId="3" borderId="4" xfId="0" quotePrefix="1" applyNumberFormat="1" applyFill="1" applyBorder="1" applyAlignment="1">
      <alignment horizontal="center"/>
    </xf>
    <xf numFmtId="12" fontId="0" fillId="3" borderId="33" xfId="0" applyNumberFormat="1" applyFill="1" applyBorder="1" applyAlignment="1">
      <alignment horizontal="center"/>
    </xf>
    <xf numFmtId="0" fontId="1" fillId="3" borderId="7" xfId="0" applyFont="1" applyFill="1" applyBorder="1" applyAlignment="1">
      <alignment horizontal="center"/>
    </xf>
    <xf numFmtId="0" fontId="11" fillId="0" borderId="0" xfId="0" applyFont="1"/>
    <xf numFmtId="0" fontId="15" fillId="0" borderId="0" xfId="0" applyFont="1"/>
    <xf numFmtId="0" fontId="16" fillId="0" borderId="0" xfId="0" applyFont="1"/>
    <xf numFmtId="0" fontId="17" fillId="0" borderId="0" xfId="0" applyFont="1"/>
    <xf numFmtId="0" fontId="18" fillId="0" borderId="0" xfId="0" applyFont="1"/>
    <xf numFmtId="0" fontId="19" fillId="0" borderId="0" xfId="0" applyFont="1"/>
    <xf numFmtId="0" fontId="20" fillId="0" borderId="0" xfId="0" applyFont="1" applyAlignment="1">
      <alignment horizontal="left"/>
    </xf>
    <xf numFmtId="0" fontId="20" fillId="0" borderId="0" xfId="0" applyFont="1" applyAlignment="1">
      <alignment horizontal="right"/>
    </xf>
    <xf numFmtId="0" fontId="21" fillId="0" borderId="0" xfId="0" applyFont="1"/>
    <xf numFmtId="0" fontId="22" fillId="0" borderId="0" xfId="0" applyFont="1"/>
    <xf numFmtId="0" fontId="23" fillId="0" borderId="0" xfId="0" applyFont="1"/>
    <xf numFmtId="0" fontId="11" fillId="4" borderId="23" xfId="0" applyFont="1" applyFill="1" applyBorder="1" applyAlignment="1">
      <alignment horizontal="center"/>
    </xf>
    <xf numFmtId="0" fontId="11" fillId="4" borderId="25" xfId="0" applyFont="1" applyFill="1" applyBorder="1" applyAlignment="1">
      <alignment horizontal="center"/>
    </xf>
    <xf numFmtId="165" fontId="0" fillId="0" borderId="0" xfId="0" applyNumberFormat="1" applyAlignment="1">
      <alignment horizontal="center"/>
    </xf>
    <xf numFmtId="0" fontId="0" fillId="0" borderId="33" xfId="0" applyBorder="1" applyAlignment="1">
      <alignment horizontal="center"/>
    </xf>
    <xf numFmtId="0" fontId="0" fillId="0" borderId="4" xfId="0" applyBorder="1" applyAlignment="1">
      <alignment horizontal="center"/>
    </xf>
    <xf numFmtId="165" fontId="0" fillId="0" borderId="5" xfId="0" applyNumberFormat="1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" xfId="0" applyBorder="1" applyAlignment="1">
      <alignment horizontal="center"/>
    </xf>
    <xf numFmtId="0" fontId="4" fillId="4" borderId="34" xfId="0" applyFont="1" applyFill="1" applyBorder="1" applyAlignment="1">
      <alignment horizontal="center"/>
    </xf>
    <xf numFmtId="0" fontId="4" fillId="4" borderId="20" xfId="0" applyFont="1" applyFill="1" applyBorder="1" applyAlignment="1">
      <alignment horizontal="center"/>
    </xf>
    <xf numFmtId="0" fontId="4" fillId="4" borderId="19" xfId="0" applyFont="1" applyFill="1" applyBorder="1" applyAlignment="1">
      <alignment horizontal="center"/>
    </xf>
    <xf numFmtId="0" fontId="0" fillId="6" borderId="8" xfId="0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21" xfId="0" applyFill="1" applyBorder="1" applyAlignment="1">
      <alignment horizontal="center"/>
    </xf>
    <xf numFmtId="0" fontId="0" fillId="6" borderId="8" xfId="0" applyFill="1" applyBorder="1"/>
    <xf numFmtId="0" fontId="0" fillId="6" borderId="1" xfId="0" applyFill="1" applyBorder="1"/>
    <xf numFmtId="164" fontId="0" fillId="6" borderId="3" xfId="0" applyNumberFormat="1" applyFill="1" applyBorder="1" applyAlignment="1">
      <alignment horizontal="center"/>
    </xf>
    <xf numFmtId="165" fontId="0" fillId="0" borderId="0" xfId="0" applyNumberFormat="1" applyBorder="1" applyAlignment="1">
      <alignment horizontal="center"/>
    </xf>
    <xf numFmtId="0" fontId="0" fillId="0" borderId="29" xfId="0" applyBorder="1" applyAlignment="1">
      <alignment horizontal="center"/>
    </xf>
    <xf numFmtId="0" fontId="0" fillId="6" borderId="3" xfId="0" applyNumberFormat="1" applyFill="1" applyBorder="1" applyAlignment="1">
      <alignment horizontal="center"/>
    </xf>
    <xf numFmtId="0" fontId="10" fillId="0" borderId="0" xfId="0" applyFont="1" applyAlignment="1">
      <alignment horizontal="right"/>
    </xf>
    <xf numFmtId="164" fontId="0" fillId="0" borderId="1" xfId="0" applyNumberFormat="1" applyBorder="1" applyAlignment="1">
      <alignment horizontal="center"/>
    </xf>
    <xf numFmtId="164" fontId="0" fillId="0" borderId="3" xfId="0" applyNumberFormat="1" applyBorder="1" applyAlignment="1">
      <alignment horizontal="center"/>
    </xf>
    <xf numFmtId="0" fontId="12" fillId="0" borderId="4" xfId="0" applyFont="1" applyBorder="1" applyAlignment="1">
      <alignment horizontal="center"/>
    </xf>
    <xf numFmtId="165" fontId="24" fillId="0" borderId="8" xfId="0" applyNumberFormat="1" applyFont="1" applyBorder="1" applyAlignment="1">
      <alignment horizontal="center"/>
    </xf>
    <xf numFmtId="165" fontId="24" fillId="0" borderId="1" xfId="0" applyNumberFormat="1" applyFont="1" applyBorder="1" applyAlignment="1">
      <alignment horizontal="center"/>
    </xf>
    <xf numFmtId="165" fontId="24" fillId="0" borderId="3" xfId="0" applyNumberFormat="1" applyFont="1" applyBorder="1" applyAlignment="1">
      <alignment horizontal="center"/>
    </xf>
    <xf numFmtId="165" fontId="24" fillId="0" borderId="10" xfId="0" applyNumberFormat="1" applyFont="1" applyBorder="1" applyAlignment="1">
      <alignment horizontal="center"/>
    </xf>
    <xf numFmtId="165" fontId="24" fillId="0" borderId="33" xfId="0" applyNumberFormat="1" applyFont="1" applyBorder="1" applyAlignment="1">
      <alignment horizontal="center"/>
    </xf>
    <xf numFmtId="165" fontId="24" fillId="0" borderId="0" xfId="0" applyNumberFormat="1" applyFont="1" applyAlignment="1">
      <alignment horizontal="center"/>
    </xf>
    <xf numFmtId="0" fontId="24" fillId="0" borderId="0" xfId="0" applyFont="1"/>
    <xf numFmtId="0" fontId="25" fillId="4" borderId="22" xfId="0" applyFont="1" applyFill="1" applyBorder="1" applyAlignment="1">
      <alignment horizontal="center"/>
    </xf>
    <xf numFmtId="0" fontId="25" fillId="4" borderId="34" xfId="0" applyFont="1" applyFill="1" applyBorder="1" applyAlignment="1">
      <alignment horizontal="center"/>
    </xf>
    <xf numFmtId="165" fontId="5" fillId="0" borderId="5" xfId="0" applyNumberFormat="1" applyFont="1" applyBorder="1" applyAlignment="1">
      <alignment horizontal="center"/>
    </xf>
    <xf numFmtId="165" fontId="5" fillId="0" borderId="4" xfId="0" applyNumberFormat="1" applyFont="1" applyBorder="1" applyAlignment="1">
      <alignment horizontal="center"/>
    </xf>
    <xf numFmtId="0" fontId="0" fillId="6" borderId="33" xfId="0" applyFill="1" applyBorder="1" applyAlignment="1">
      <alignment horizontal="center"/>
    </xf>
    <xf numFmtId="0" fontId="0" fillId="6" borderId="29" xfId="0" applyFill="1" applyBorder="1"/>
    <xf numFmtId="0" fontId="0" fillId="0" borderId="35" xfId="0" applyBorder="1" applyAlignment="1">
      <alignment horizontal="center"/>
    </xf>
    <xf numFmtId="165" fontId="0" fillId="0" borderId="36" xfId="0" applyNumberFormat="1" applyBorder="1" applyAlignment="1">
      <alignment horizontal="center"/>
    </xf>
    <xf numFmtId="165" fontId="24" fillId="0" borderId="37" xfId="0" applyNumberFormat="1" applyFont="1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37" xfId="0" applyBorder="1" applyAlignment="1">
      <alignment horizontal="center"/>
    </xf>
    <xf numFmtId="0" fontId="0" fillId="6" borderId="37" xfId="0" applyFill="1" applyBorder="1" applyAlignment="1">
      <alignment horizontal="center"/>
    </xf>
    <xf numFmtId="0" fontId="0" fillId="6" borderId="38" xfId="0" applyFill="1" applyBorder="1" applyAlignment="1">
      <alignment horizontal="center"/>
    </xf>
    <xf numFmtId="0" fontId="0" fillId="6" borderId="37" xfId="0" applyFill="1" applyBorder="1"/>
    <xf numFmtId="165" fontId="24" fillId="0" borderId="30" xfId="0" applyNumberFormat="1" applyFont="1" applyBorder="1" applyAlignment="1">
      <alignment horizontal="center"/>
    </xf>
    <xf numFmtId="0" fontId="0" fillId="0" borderId="39" xfId="0" applyBorder="1" applyAlignment="1">
      <alignment horizontal="center"/>
    </xf>
    <xf numFmtId="165" fontId="14" fillId="0" borderId="40" xfId="0" applyNumberFormat="1" applyFont="1" applyBorder="1" applyAlignment="1">
      <alignment horizontal="center"/>
    </xf>
    <xf numFmtId="165" fontId="24" fillId="0" borderId="41" xfId="0" applyNumberFormat="1" applyFont="1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42" xfId="0" applyBorder="1" applyAlignment="1">
      <alignment horizontal="center"/>
    </xf>
    <xf numFmtId="0" fontId="0" fillId="6" borderId="41" xfId="0" applyFill="1" applyBorder="1" applyAlignment="1">
      <alignment horizontal="center"/>
    </xf>
    <xf numFmtId="0" fontId="0" fillId="6" borderId="42" xfId="0" applyFill="1" applyBorder="1"/>
    <xf numFmtId="164" fontId="0" fillId="6" borderId="38" xfId="0" applyNumberFormat="1" applyFill="1" applyBorder="1" applyAlignment="1">
      <alignment horizontal="center"/>
    </xf>
    <xf numFmtId="0" fontId="0" fillId="6" borderId="29" xfId="0" applyFill="1" applyBorder="1" applyAlignment="1">
      <alignment horizontal="center"/>
    </xf>
    <xf numFmtId="165" fontId="0" fillId="0" borderId="40" xfId="0" applyNumberFormat="1" applyBorder="1" applyAlignment="1">
      <alignment horizontal="center"/>
    </xf>
    <xf numFmtId="0" fontId="0" fillId="6" borderId="42" xfId="0" applyFill="1" applyBorder="1" applyAlignment="1">
      <alignment horizontal="center"/>
    </xf>
    <xf numFmtId="164" fontId="0" fillId="0" borderId="37" xfId="0" applyNumberFormat="1" applyBorder="1" applyAlignment="1">
      <alignment horizontal="center"/>
    </xf>
    <xf numFmtId="164" fontId="0" fillId="0" borderId="38" xfId="0" applyNumberFormat="1" applyBorder="1" applyAlignment="1">
      <alignment horizontal="center"/>
    </xf>
    <xf numFmtId="0" fontId="0" fillId="0" borderId="40" xfId="0" applyBorder="1" applyAlignment="1">
      <alignment horizontal="center"/>
    </xf>
    <xf numFmtId="165" fontId="24" fillId="0" borderId="43" xfId="0" applyNumberFormat="1" applyFont="1" applyBorder="1" applyAlignment="1">
      <alignment horizontal="center"/>
    </xf>
    <xf numFmtId="0" fontId="27" fillId="0" borderId="0" xfId="0" applyFont="1"/>
    <xf numFmtId="0" fontId="0" fillId="0" borderId="5" xfId="0" applyBorder="1" applyAlignment="1">
      <alignment horizontal="center"/>
    </xf>
    <xf numFmtId="165" fontId="24" fillId="0" borderId="29" xfId="0" applyNumberFormat="1" applyFont="1" applyBorder="1" applyAlignment="1">
      <alignment horizontal="center"/>
    </xf>
    <xf numFmtId="0" fontId="0" fillId="0" borderId="36" xfId="0" applyBorder="1" applyAlignment="1">
      <alignment horizontal="center"/>
    </xf>
    <xf numFmtId="165" fontId="0" fillId="0" borderId="35" xfId="0" applyNumberFormat="1" applyBorder="1" applyAlignment="1">
      <alignment horizontal="center"/>
    </xf>
    <xf numFmtId="165" fontId="0" fillId="0" borderId="44" xfId="0" applyNumberFormat="1" applyBorder="1" applyAlignment="1">
      <alignment horizontal="center"/>
    </xf>
    <xf numFmtId="0" fontId="28" fillId="0" borderId="0" xfId="0" applyFont="1"/>
    <xf numFmtId="0" fontId="29" fillId="0" borderId="0" xfId="0" applyFont="1"/>
    <xf numFmtId="0" fontId="30" fillId="0" borderId="0" xfId="0" applyFont="1" applyAlignment="1">
      <alignment horizontal="right"/>
    </xf>
    <xf numFmtId="2" fontId="5" fillId="4" borderId="25" xfId="0" applyNumberFormat="1" applyFont="1" applyFill="1" applyBorder="1"/>
    <xf numFmtId="164" fontId="0" fillId="6" borderId="8" xfId="0" applyNumberFormat="1" applyFill="1" applyBorder="1" applyAlignment="1">
      <alignment horizontal="center"/>
    </xf>
    <xf numFmtId="164" fontId="0" fillId="6" borderId="29" xfId="0" applyNumberFormat="1" applyFill="1" applyBorder="1" applyAlignment="1">
      <alignment horizontal="center"/>
    </xf>
    <xf numFmtId="164" fontId="0" fillId="6" borderId="1" xfId="0" applyNumberFormat="1" applyFill="1" applyBorder="1" applyAlignment="1">
      <alignment horizontal="center"/>
    </xf>
    <xf numFmtId="164" fontId="0" fillId="3" borderId="1" xfId="0" applyNumberFormat="1" applyFill="1" applyBorder="1" applyAlignment="1">
      <alignment horizontal="center"/>
    </xf>
    <xf numFmtId="164" fontId="0" fillId="3" borderId="8" xfId="0" applyNumberFormat="1" applyFill="1" applyBorder="1" applyAlignment="1">
      <alignment horizontal="center"/>
    </xf>
    <xf numFmtId="164" fontId="0" fillId="3" borderId="29" xfId="0" applyNumberFormat="1" applyFill="1" applyBorder="1" applyAlignment="1">
      <alignment horizontal="center"/>
    </xf>
    <xf numFmtId="0" fontId="11" fillId="4" borderId="45" xfId="0" applyFont="1" applyFill="1" applyBorder="1" applyAlignment="1">
      <alignment horizontal="center"/>
    </xf>
    <xf numFmtId="0" fontId="25" fillId="4" borderId="46" xfId="0" applyFont="1" applyFill="1" applyBorder="1" applyAlignment="1">
      <alignment horizontal="center"/>
    </xf>
    <xf numFmtId="0" fontId="11" fillId="4" borderId="47" xfId="0" applyFont="1" applyFill="1" applyBorder="1" applyAlignment="1">
      <alignment horizontal="center"/>
    </xf>
    <xf numFmtId="0" fontId="26" fillId="4" borderId="47" xfId="0" applyFont="1" applyFill="1" applyBorder="1" applyAlignment="1">
      <alignment horizontal="center"/>
    </xf>
    <xf numFmtId="0" fontId="0" fillId="4" borderId="26" xfId="0" applyFill="1" applyBorder="1" applyAlignment="1">
      <alignment horizontal="center"/>
    </xf>
    <xf numFmtId="0" fontId="11" fillId="4" borderId="48" xfId="0" applyFont="1" applyFill="1" applyBorder="1" applyAlignment="1">
      <alignment horizontal="center"/>
    </xf>
    <xf numFmtId="0" fontId="26" fillId="4" borderId="48" xfId="0" applyFont="1" applyFill="1" applyBorder="1" applyAlignment="1">
      <alignment horizontal="center"/>
    </xf>
    <xf numFmtId="0" fontId="0" fillId="4" borderId="24" xfId="0" applyFill="1" applyBorder="1" applyAlignment="1">
      <alignment horizontal="center"/>
    </xf>
    <xf numFmtId="2" fontId="0" fillId="3" borderId="0" xfId="0" applyNumberFormat="1" applyFill="1" applyBorder="1" applyAlignment="1">
      <alignment horizontal="center"/>
    </xf>
    <xf numFmtId="0" fontId="11" fillId="3" borderId="0" xfId="0" applyFont="1" applyFill="1" applyBorder="1"/>
    <xf numFmtId="0" fontId="2" fillId="3" borderId="0" xfId="0" applyFont="1" applyFill="1" applyBorder="1"/>
    <xf numFmtId="0" fontId="2" fillId="3" borderId="0" xfId="0" applyFont="1" applyFill="1" applyBorder="1" applyAlignment="1">
      <alignment horizontal="center"/>
    </xf>
    <xf numFmtId="0" fontId="4" fillId="3" borderId="0" xfId="0" applyFont="1" applyFill="1" applyBorder="1"/>
    <xf numFmtId="13" fontId="0" fillId="0" borderId="33" xfId="0" applyNumberFormat="1" applyBorder="1" applyAlignment="1">
      <alignment horizontal="center"/>
    </xf>
    <xf numFmtId="2" fontId="0" fillId="0" borderId="29" xfId="0" applyNumberFormat="1" applyBorder="1" applyAlignment="1">
      <alignment horizontal="center"/>
    </xf>
    <xf numFmtId="164" fontId="0" fillId="0" borderId="8" xfId="0" applyNumberFormat="1" applyBorder="1" applyAlignment="1">
      <alignment horizontal="center"/>
    </xf>
    <xf numFmtId="0" fontId="31" fillId="4" borderId="32" xfId="0" applyFont="1" applyFill="1" applyBorder="1" applyAlignment="1">
      <alignment horizontal="center"/>
    </xf>
    <xf numFmtId="0" fontId="2" fillId="4" borderId="45" xfId="0" applyFont="1" applyFill="1" applyBorder="1" applyAlignment="1">
      <alignment horizontal="center"/>
    </xf>
    <xf numFmtId="164" fontId="11" fillId="0" borderId="4" xfId="0" applyNumberFormat="1" applyFont="1" applyBorder="1" applyAlignment="1">
      <alignment horizontal="center"/>
    </xf>
    <xf numFmtId="0" fontId="11" fillId="3" borderId="0" xfId="0" applyFont="1" applyFill="1" applyBorder="1" applyAlignment="1">
      <alignment horizontal="center"/>
    </xf>
    <xf numFmtId="0" fontId="2" fillId="4" borderId="22" xfId="0" applyFont="1" applyFill="1" applyBorder="1" applyAlignment="1">
      <alignment horizontal="center"/>
    </xf>
    <xf numFmtId="0" fontId="14" fillId="3" borderId="0" xfId="0" applyFont="1" applyFill="1" applyBorder="1" applyAlignment="1">
      <alignment horizontal="center"/>
    </xf>
    <xf numFmtId="0" fontId="2" fillId="4" borderId="49" xfId="0" applyFont="1" applyFill="1" applyBorder="1" applyAlignment="1">
      <alignment horizontal="center"/>
    </xf>
    <xf numFmtId="2" fontId="5" fillId="3" borderId="50" xfId="0" applyNumberFormat="1" applyFont="1" applyFill="1" applyBorder="1" applyAlignment="1">
      <alignment horizontal="center"/>
    </xf>
    <xf numFmtId="2" fontId="5" fillId="3" borderId="19" xfId="0" applyNumberFormat="1" applyFont="1" applyFill="1" applyBorder="1" applyAlignment="1">
      <alignment horizontal="center"/>
    </xf>
    <xf numFmtId="164" fontId="5" fillId="3" borderId="51" xfId="0" applyNumberFormat="1" applyFont="1" applyFill="1" applyBorder="1" applyAlignment="1">
      <alignment horizontal="center"/>
    </xf>
    <xf numFmtId="0" fontId="5" fillId="4" borderId="52" xfId="0" applyFont="1" applyFill="1" applyBorder="1" applyAlignment="1">
      <alignment horizontal="center"/>
    </xf>
    <xf numFmtId="0" fontId="4" fillId="4" borderId="46" xfId="0" applyFont="1" applyFill="1" applyBorder="1" applyAlignment="1">
      <alignment horizontal="center"/>
    </xf>
    <xf numFmtId="164" fontId="5" fillId="0" borderId="51" xfId="0" applyNumberFormat="1" applyFont="1" applyBorder="1" applyAlignment="1">
      <alignment horizontal="center"/>
    </xf>
    <xf numFmtId="164" fontId="0" fillId="6" borderId="5" xfId="0" applyNumberFormat="1" applyFill="1" applyBorder="1" applyAlignment="1">
      <alignment horizontal="center"/>
    </xf>
    <xf numFmtId="0" fontId="4" fillId="4" borderId="33" xfId="0" applyFont="1" applyFill="1" applyBorder="1" applyAlignment="1">
      <alignment horizontal="center"/>
    </xf>
    <xf numFmtId="164" fontId="0" fillId="4" borderId="1" xfId="0" applyNumberFormat="1" applyFill="1" applyBorder="1" applyAlignment="1">
      <alignment horizontal="center"/>
    </xf>
    <xf numFmtId="0" fontId="1" fillId="4" borderId="3" xfId="0" applyFont="1" applyFill="1" applyBorder="1" applyAlignment="1">
      <alignment horizontal="center"/>
    </xf>
    <xf numFmtId="13" fontId="0" fillId="4" borderId="3" xfId="0" applyNumberFormat="1" applyFill="1" applyBorder="1" applyAlignment="1">
      <alignment horizontal="center"/>
    </xf>
    <xf numFmtId="13" fontId="0" fillId="4" borderId="1" xfId="0" applyNumberFormat="1" applyFill="1" applyBorder="1" applyAlignment="1">
      <alignment horizontal="center"/>
    </xf>
    <xf numFmtId="0" fontId="1" fillId="4" borderId="33" xfId="0" applyFont="1" applyFill="1" applyBorder="1" applyAlignment="1">
      <alignment horizontal="center"/>
    </xf>
    <xf numFmtId="0" fontId="1" fillId="4" borderId="4" xfId="0" applyFont="1" applyFill="1" applyBorder="1" applyAlignment="1">
      <alignment horizontal="center"/>
    </xf>
    <xf numFmtId="164" fontId="0" fillId="4" borderId="28" xfId="0" applyNumberFormat="1" applyFill="1" applyBorder="1" applyAlignment="1">
      <alignment horizontal="center"/>
    </xf>
    <xf numFmtId="2" fontId="0" fillId="3" borderId="5" xfId="0" applyNumberFormat="1" applyFill="1" applyBorder="1" applyAlignment="1">
      <alignment horizontal="center"/>
    </xf>
    <xf numFmtId="164" fontId="0" fillId="3" borderId="6" xfId="0" applyNumberFormat="1" applyFill="1" applyBorder="1" applyAlignment="1">
      <alignment horizontal="center"/>
    </xf>
    <xf numFmtId="13" fontId="0" fillId="4" borderId="10" xfId="0" applyNumberFormat="1" applyFill="1" applyBorder="1" applyAlignment="1">
      <alignment horizontal="center"/>
    </xf>
    <xf numFmtId="2" fontId="0" fillId="4" borderId="10" xfId="0" applyNumberFormat="1" applyFill="1" applyBorder="1" applyAlignment="1">
      <alignment horizontal="center"/>
    </xf>
    <xf numFmtId="164" fontId="0" fillId="4" borderId="10" xfId="0" applyNumberFormat="1" applyFill="1" applyBorder="1" applyAlignment="1">
      <alignment horizontal="center"/>
    </xf>
    <xf numFmtId="2" fontId="0" fillId="3" borderId="6" xfId="0" applyNumberFormat="1" applyFill="1" applyBorder="1" applyAlignment="1">
      <alignment horizontal="center"/>
    </xf>
    <xf numFmtId="13" fontId="14" fillId="3" borderId="6" xfId="0" applyNumberFormat="1" applyFont="1" applyFill="1" applyBorder="1" applyAlignment="1">
      <alignment horizontal="center"/>
    </xf>
    <xf numFmtId="13" fontId="14" fillId="4" borderId="10" xfId="0" applyNumberFormat="1" applyFont="1" applyFill="1" applyBorder="1" applyAlignment="1">
      <alignment horizontal="center"/>
    </xf>
    <xf numFmtId="13" fontId="14" fillId="6" borderId="4" xfId="0" applyNumberFormat="1" applyFont="1" applyFill="1" applyBorder="1" applyAlignment="1">
      <alignment horizontal="center"/>
    </xf>
    <xf numFmtId="13" fontId="14" fillId="6" borderId="5" xfId="0" applyNumberFormat="1" applyFont="1" applyFill="1" applyBorder="1" applyAlignment="1">
      <alignment horizontal="center"/>
    </xf>
    <xf numFmtId="0" fontId="2" fillId="6" borderId="4" xfId="0" applyFont="1" applyFill="1" applyBorder="1" applyAlignment="1">
      <alignment horizontal="center"/>
    </xf>
    <xf numFmtId="2" fontId="0" fillId="6" borderId="5" xfId="0" applyNumberFormat="1" applyFill="1" applyBorder="1" applyAlignment="1">
      <alignment horizontal="center"/>
    </xf>
    <xf numFmtId="164" fontId="0" fillId="6" borderId="6" xfId="0" applyNumberFormat="1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164" fontId="0" fillId="3" borderId="31" xfId="0" applyNumberFormat="1" applyFill="1" applyBorder="1" applyAlignment="1">
      <alignment horizontal="center"/>
    </xf>
    <xf numFmtId="2" fontId="0" fillId="0" borderId="2" xfId="0" applyNumberFormat="1" applyBorder="1" applyAlignment="1">
      <alignment horizontal="center"/>
    </xf>
    <xf numFmtId="164" fontId="0" fillId="3" borderId="2" xfId="0" applyNumberFormat="1" applyFill="1" applyBorder="1" applyAlignment="1">
      <alignment horizontal="center"/>
    </xf>
    <xf numFmtId="164" fontId="0" fillId="3" borderId="0" xfId="0" applyNumberFormat="1" applyFill="1" applyBorder="1" applyAlignment="1">
      <alignment horizontal="center"/>
    </xf>
    <xf numFmtId="2" fontId="0" fillId="3" borderId="10" xfId="0" applyNumberFormat="1" applyFill="1" applyBorder="1" applyAlignment="1">
      <alignment horizontal="center"/>
    </xf>
    <xf numFmtId="164" fontId="0" fillId="3" borderId="10" xfId="0" applyNumberFormat="1" applyFill="1" applyBorder="1" applyAlignment="1">
      <alignment horizontal="center"/>
    </xf>
    <xf numFmtId="164" fontId="0" fillId="3" borderId="5" xfId="0" applyNumberFormat="1" applyFill="1" applyBorder="1" applyAlignment="1">
      <alignment horizontal="center"/>
    </xf>
    <xf numFmtId="164" fontId="0" fillId="4" borderId="31" xfId="0" applyNumberFormat="1" applyFill="1" applyBorder="1" applyAlignment="1">
      <alignment horizontal="center"/>
    </xf>
    <xf numFmtId="164" fontId="0" fillId="4" borderId="29" xfId="0" applyNumberFormat="1" applyFill="1" applyBorder="1" applyAlignment="1">
      <alignment horizontal="center"/>
    </xf>
    <xf numFmtId="0" fontId="0" fillId="4" borderId="10" xfId="0" applyFill="1" applyBorder="1"/>
    <xf numFmtId="13" fontId="2" fillId="4" borderId="10" xfId="0" applyNumberFormat="1" applyFont="1" applyFill="1" applyBorder="1" applyAlignment="1">
      <alignment horizontal="center"/>
    </xf>
    <xf numFmtId="13" fontId="2" fillId="3" borderId="6" xfId="0" quotePrefix="1" applyNumberFormat="1" applyFont="1" applyFill="1" applyBorder="1" applyAlignment="1">
      <alignment horizontal="center"/>
    </xf>
    <xf numFmtId="13" fontId="2" fillId="3" borderId="7" xfId="0" quotePrefix="1" applyNumberFormat="1" applyFont="1" applyFill="1" applyBorder="1" applyAlignment="1">
      <alignment horizontal="center"/>
    </xf>
    <xf numFmtId="13" fontId="2" fillId="3" borderId="29" xfId="0" quotePrefix="1" applyNumberFormat="1" applyFont="1" applyFill="1" applyBorder="1" applyAlignment="1">
      <alignment horizontal="center"/>
    </xf>
    <xf numFmtId="13" fontId="2" fillId="3" borderId="33" xfId="0" quotePrefix="1" applyNumberFormat="1" applyFont="1" applyFill="1" applyBorder="1" applyAlignment="1">
      <alignment horizontal="center"/>
    </xf>
    <xf numFmtId="13" fontId="2" fillId="3" borderId="0" xfId="0" applyNumberFormat="1" applyFont="1" applyFill="1" applyBorder="1" applyAlignment="1">
      <alignment horizontal="center"/>
    </xf>
    <xf numFmtId="0" fontId="0" fillId="0" borderId="0" xfId="0" applyBorder="1"/>
    <xf numFmtId="0" fontId="1" fillId="4" borderId="7" xfId="0" applyFont="1" applyFill="1" applyBorder="1" applyAlignment="1">
      <alignment horizontal="center"/>
    </xf>
    <xf numFmtId="13" fontId="0" fillId="3" borderId="30" xfId="0" applyNumberFormat="1" applyFill="1" applyBorder="1" applyAlignment="1">
      <alignment horizontal="center"/>
    </xf>
    <xf numFmtId="12" fontId="0" fillId="3" borderId="29" xfId="0" applyNumberFormat="1" applyFill="1" applyBorder="1" applyAlignment="1">
      <alignment horizontal="center"/>
    </xf>
    <xf numFmtId="13" fontId="0" fillId="3" borderId="6" xfId="0" quotePrefix="1" applyNumberFormat="1" applyFill="1" applyBorder="1" applyAlignment="1">
      <alignment horizontal="center"/>
    </xf>
    <xf numFmtId="13" fontId="0" fillId="3" borderId="7" xfId="0" quotePrefix="1" applyNumberFormat="1" applyFill="1" applyBorder="1" applyAlignment="1">
      <alignment horizontal="center"/>
    </xf>
    <xf numFmtId="13" fontId="0" fillId="4" borderId="10" xfId="0" quotePrefix="1" applyNumberFormat="1" applyFill="1" applyBorder="1" applyAlignment="1">
      <alignment horizontal="center"/>
    </xf>
    <xf numFmtId="13" fontId="0" fillId="6" borderId="7" xfId="0" applyNumberFormat="1" applyFill="1" applyBorder="1" applyAlignment="1">
      <alignment horizontal="center"/>
    </xf>
    <xf numFmtId="2" fontId="0" fillId="6" borderId="6" xfId="0" applyNumberFormat="1" applyFill="1" applyBorder="1" applyAlignment="1">
      <alignment horizontal="center"/>
    </xf>
    <xf numFmtId="164" fontId="0" fillId="0" borderId="29" xfId="0" applyNumberFormat="1" applyBorder="1" applyAlignment="1">
      <alignment horizontal="center"/>
    </xf>
    <xf numFmtId="0" fontId="4" fillId="4" borderId="3" xfId="0" applyFont="1" applyFill="1" applyBorder="1"/>
    <xf numFmtId="0" fontId="4" fillId="4" borderId="28" xfId="0" applyFont="1" applyFill="1" applyBorder="1"/>
    <xf numFmtId="13" fontId="0" fillId="0" borderId="7" xfId="0" applyNumberFormat="1" applyBorder="1" applyAlignment="1">
      <alignment horizontal="center"/>
    </xf>
    <xf numFmtId="2" fontId="0" fillId="0" borderId="6" xfId="0" applyNumberFormat="1" applyBorder="1" applyAlignment="1">
      <alignment horizontal="center"/>
    </xf>
    <xf numFmtId="164" fontId="0" fillId="0" borderId="6" xfId="0" applyNumberFormat="1" applyBorder="1" applyAlignment="1">
      <alignment horizontal="center"/>
    </xf>
    <xf numFmtId="0" fontId="4" fillId="4" borderId="10" xfId="0" applyFont="1" applyFill="1" applyBorder="1"/>
    <xf numFmtId="0" fontId="4" fillId="0" borderId="7" xfId="0" applyFont="1" applyBorder="1"/>
    <xf numFmtId="2" fontId="0" fillId="0" borderId="5" xfId="0" applyNumberFormat="1" applyBorder="1" applyAlignment="1">
      <alignment horizontal="center"/>
    </xf>
    <xf numFmtId="164" fontId="0" fillId="0" borderId="5" xfId="0" applyNumberFormat="1" applyBorder="1" applyAlignment="1">
      <alignment horizontal="center"/>
    </xf>
    <xf numFmtId="0" fontId="11" fillId="3" borderId="0" xfId="0" applyFont="1" applyFill="1"/>
    <xf numFmtId="0" fontId="10" fillId="7" borderId="22" xfId="0" applyFont="1" applyFill="1" applyBorder="1" applyAlignment="1">
      <alignment horizontal="center"/>
    </xf>
    <xf numFmtId="0" fontId="2" fillId="7" borderId="53" xfId="0" applyFont="1" applyFill="1" applyBorder="1" applyAlignment="1">
      <alignment horizontal="center"/>
    </xf>
    <xf numFmtId="0" fontId="10" fillId="7" borderId="2" xfId="0" applyFont="1" applyFill="1" applyBorder="1" applyAlignment="1">
      <alignment horizontal="center"/>
    </xf>
    <xf numFmtId="0" fontId="10" fillId="7" borderId="52" xfId="0" applyFont="1" applyFill="1" applyBorder="1" applyAlignment="1">
      <alignment horizontal="center"/>
    </xf>
    <xf numFmtId="0" fontId="2" fillId="7" borderId="52" xfId="0" applyFont="1" applyFill="1" applyBorder="1" applyAlignment="1">
      <alignment horizontal="center"/>
    </xf>
    <xf numFmtId="0" fontId="10" fillId="7" borderId="34" xfId="0" applyFont="1" applyFill="1" applyBorder="1" applyAlignment="1">
      <alignment horizontal="center"/>
    </xf>
    <xf numFmtId="0" fontId="10" fillId="7" borderId="54" xfId="0" applyFont="1" applyFill="1" applyBorder="1" applyAlignment="1">
      <alignment horizontal="center"/>
    </xf>
    <xf numFmtId="0" fontId="20" fillId="7" borderId="54" xfId="0" applyFont="1" applyFill="1" applyBorder="1" applyAlignment="1">
      <alignment horizontal="center"/>
    </xf>
    <xf numFmtId="0" fontId="2" fillId="7" borderId="55" xfId="0" applyFont="1" applyFill="1" applyBorder="1" applyAlignment="1">
      <alignment horizontal="center"/>
    </xf>
    <xf numFmtId="0" fontId="2" fillId="7" borderId="56" xfId="0" applyFont="1" applyFill="1" applyBorder="1" applyAlignment="1">
      <alignment horizontal="center"/>
    </xf>
    <xf numFmtId="0" fontId="2" fillId="7" borderId="54" xfId="0" applyFont="1" applyFill="1" applyBorder="1" applyAlignment="1">
      <alignment horizontal="center"/>
    </xf>
    <xf numFmtId="0" fontId="11" fillId="7" borderId="56" xfId="0" applyFont="1" applyFill="1" applyBorder="1" applyAlignment="1">
      <alignment horizontal="center"/>
    </xf>
    <xf numFmtId="0" fontId="11" fillId="7" borderId="22" xfId="0" applyFont="1" applyFill="1" applyBorder="1" applyAlignment="1">
      <alignment horizontal="center"/>
    </xf>
    <xf numFmtId="0" fontId="11" fillId="7" borderId="2" xfId="0" applyFont="1" applyFill="1" applyBorder="1" applyAlignment="1">
      <alignment horizontal="center"/>
    </xf>
    <xf numFmtId="0" fontId="11" fillId="7" borderId="34" xfId="0" applyFont="1" applyFill="1" applyBorder="1" applyAlignment="1">
      <alignment horizontal="center"/>
    </xf>
    <xf numFmtId="0" fontId="11" fillId="7" borderId="54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/>
    </xf>
    <xf numFmtId="0" fontId="2" fillId="7" borderId="48" xfId="0" applyFont="1" applyFill="1" applyBorder="1" applyAlignment="1">
      <alignment horizontal="center"/>
    </xf>
    <xf numFmtId="0" fontId="2" fillId="7" borderId="47" xfId="0" applyFont="1" applyFill="1" applyBorder="1" applyAlignment="1">
      <alignment horizontal="center"/>
    </xf>
    <xf numFmtId="0" fontId="20" fillId="0" borderId="0" xfId="0" applyFont="1"/>
    <xf numFmtId="0" fontId="5" fillId="2" borderId="57" xfId="0" applyFont="1" applyFill="1" applyBorder="1" applyAlignment="1">
      <alignment horizontal="center"/>
    </xf>
    <xf numFmtId="0" fontId="11" fillId="7" borderId="23" xfId="0" applyFont="1" applyFill="1" applyBorder="1" applyAlignment="1">
      <alignment horizontal="center"/>
    </xf>
    <xf numFmtId="0" fontId="2" fillId="7" borderId="23" xfId="0" applyFont="1" applyFill="1" applyBorder="1" applyAlignment="1">
      <alignment horizontal="center"/>
    </xf>
    <xf numFmtId="0" fontId="11" fillId="7" borderId="25" xfId="0" applyFont="1" applyFill="1" applyBorder="1"/>
    <xf numFmtId="0" fontId="2" fillId="7" borderId="25" xfId="0" applyFont="1" applyFill="1" applyBorder="1"/>
    <xf numFmtId="0" fontId="2" fillId="7" borderId="25" xfId="0" applyFont="1" applyFill="1" applyBorder="1" applyAlignment="1">
      <alignment horizontal="center"/>
    </xf>
    <xf numFmtId="0" fontId="11" fillId="7" borderId="25" xfId="0" applyFont="1" applyFill="1" applyBorder="1" applyAlignment="1">
      <alignment horizontal="center"/>
    </xf>
    <xf numFmtId="0" fontId="10" fillId="7" borderId="53" xfId="0" applyFont="1" applyFill="1" applyBorder="1" applyAlignment="1">
      <alignment horizontal="center"/>
    </xf>
    <xf numFmtId="0" fontId="11" fillId="0" borderId="0" xfId="0" applyFont="1" applyAlignment="1">
      <alignment horizontal="center"/>
    </xf>
    <xf numFmtId="0" fontId="12" fillId="4" borderId="45" xfId="0" applyFont="1" applyFill="1" applyBorder="1" applyAlignment="1">
      <alignment horizontal="center"/>
    </xf>
    <xf numFmtId="0" fontId="4" fillId="4" borderId="45" xfId="0" applyFont="1" applyFill="1" applyBorder="1" applyAlignment="1">
      <alignment horizontal="center"/>
    </xf>
    <xf numFmtId="0" fontId="4" fillId="4" borderId="22" xfId="0" applyFont="1" applyFill="1" applyBorder="1" applyAlignment="1">
      <alignment horizontal="center"/>
    </xf>
    <xf numFmtId="0" fontId="31" fillId="4" borderId="24" xfId="0" applyFont="1" applyFill="1" applyBorder="1" applyAlignment="1">
      <alignment horizontal="center"/>
    </xf>
    <xf numFmtId="2" fontId="5" fillId="4" borderId="34" xfId="0" applyNumberFormat="1" applyFont="1" applyFill="1" applyBorder="1" applyAlignment="1">
      <alignment horizontal="center"/>
    </xf>
    <xf numFmtId="0" fontId="31" fillId="4" borderId="58" xfId="0" applyFont="1" applyFill="1" applyBorder="1" applyAlignment="1">
      <alignment horizontal="center"/>
    </xf>
    <xf numFmtId="0" fontId="31" fillId="4" borderId="59" xfId="0" applyFont="1" applyFill="1" applyBorder="1" applyAlignment="1">
      <alignment horizontal="center"/>
    </xf>
    <xf numFmtId="2" fontId="5" fillId="4" borderId="26" xfId="0" applyNumberFormat="1" applyFont="1" applyFill="1" applyBorder="1" applyAlignment="1">
      <alignment horizontal="center"/>
    </xf>
    <xf numFmtId="0" fontId="11" fillId="4" borderId="32" xfId="0" applyFont="1" applyFill="1" applyBorder="1" applyAlignment="1">
      <alignment horizontal="center"/>
    </xf>
    <xf numFmtId="0" fontId="10" fillId="4" borderId="60" xfId="0" applyFont="1" applyFill="1" applyBorder="1" applyAlignment="1">
      <alignment horizontal="center"/>
    </xf>
    <xf numFmtId="0" fontId="10" fillId="4" borderId="26" xfId="0" applyFont="1" applyFill="1" applyBorder="1" applyAlignment="1">
      <alignment horizontal="center"/>
    </xf>
    <xf numFmtId="0" fontId="22" fillId="3" borderId="0" xfId="0" applyFont="1" applyFill="1" applyBorder="1"/>
    <xf numFmtId="0" fontId="12" fillId="3" borderId="0" xfId="0" applyFont="1" applyFill="1" applyBorder="1" applyAlignment="1">
      <alignment horizontal="center"/>
    </xf>
    <xf numFmtId="0" fontId="10" fillId="3" borderId="0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13" fontId="2" fillId="0" borderId="6" xfId="0" applyNumberFormat="1" applyFont="1" applyBorder="1" applyAlignment="1">
      <alignment horizontal="center"/>
    </xf>
    <xf numFmtId="2" fontId="2" fillId="0" borderId="61" xfId="0" applyNumberFormat="1" applyFont="1" applyBorder="1" applyAlignment="1">
      <alignment horizontal="center"/>
    </xf>
    <xf numFmtId="13" fontId="2" fillId="2" borderId="10" xfId="0" applyNumberFormat="1" applyFont="1" applyFill="1" applyBorder="1" applyAlignment="1">
      <alignment horizontal="center"/>
    </xf>
    <xf numFmtId="2" fontId="2" fillId="2" borderId="10" xfId="0" applyNumberFormat="1" applyFont="1" applyFill="1" applyBorder="1" applyAlignment="1">
      <alignment horizontal="center"/>
    </xf>
    <xf numFmtId="13" fontId="2" fillId="2" borderId="28" xfId="0" applyNumberFormat="1" applyFont="1" applyFill="1" applyBorder="1" applyAlignment="1">
      <alignment horizontal="center"/>
    </xf>
    <xf numFmtId="0" fontId="33" fillId="4" borderId="56" xfId="0" applyFont="1" applyFill="1" applyBorder="1" applyAlignment="1">
      <alignment horizontal="center"/>
    </xf>
    <xf numFmtId="164" fontId="2" fillId="3" borderId="8" xfId="0" applyNumberFormat="1" applyFont="1" applyFill="1" applyBorder="1" applyAlignment="1">
      <alignment horizontal="center"/>
    </xf>
    <xf numFmtId="2" fontId="2" fillId="0" borderId="8" xfId="0" applyNumberFormat="1" applyFont="1" applyBorder="1" applyAlignment="1">
      <alignment horizontal="center"/>
    </xf>
    <xf numFmtId="164" fontId="2" fillId="3" borderId="29" xfId="0" applyNumberFormat="1" applyFont="1" applyFill="1" applyBorder="1" applyAlignment="1">
      <alignment horizontal="center"/>
    </xf>
    <xf numFmtId="2" fontId="2" fillId="0" borderId="29" xfId="0" applyNumberFormat="1" applyFont="1" applyBorder="1" applyAlignment="1">
      <alignment horizontal="center"/>
    </xf>
    <xf numFmtId="164" fontId="2" fillId="3" borderId="5" xfId="0" applyNumberFormat="1" applyFont="1" applyFill="1" applyBorder="1" applyAlignment="1">
      <alignment horizontal="center"/>
    </xf>
    <xf numFmtId="164" fontId="2" fillId="3" borderId="1" xfId="0" applyNumberFormat="1" applyFont="1" applyFill="1" applyBorder="1" applyAlignment="1">
      <alignment horizontal="center"/>
    </xf>
    <xf numFmtId="2" fontId="2" fillId="0" borderId="1" xfId="0" applyNumberFormat="1" applyFont="1" applyBorder="1" applyAlignment="1">
      <alignment horizontal="center"/>
    </xf>
    <xf numFmtId="0" fontId="32" fillId="0" borderId="0" xfId="0" applyFont="1" applyAlignment="1">
      <alignment horizontal="center"/>
    </xf>
    <xf numFmtId="164" fontId="5" fillId="0" borderId="25" xfId="0" applyNumberFormat="1" applyFont="1" applyBorder="1" applyAlignment="1">
      <alignment horizontal="center"/>
    </xf>
    <xf numFmtId="0" fontId="2" fillId="4" borderId="23" xfId="0" applyFont="1" applyFill="1" applyBorder="1" applyAlignment="1">
      <alignment horizontal="center"/>
    </xf>
    <xf numFmtId="0" fontId="2" fillId="4" borderId="24" xfId="0" applyFont="1" applyFill="1" applyBorder="1" applyAlignment="1">
      <alignment horizontal="center"/>
    </xf>
    <xf numFmtId="0" fontId="2" fillId="4" borderId="25" xfId="0" applyFont="1" applyFill="1" applyBorder="1" applyAlignment="1">
      <alignment horizontal="center"/>
    </xf>
    <xf numFmtId="0" fontId="2" fillId="4" borderId="26" xfId="0" applyFont="1" applyFill="1" applyBorder="1" applyAlignment="1">
      <alignment horizontal="center"/>
    </xf>
    <xf numFmtId="2" fontId="5" fillId="3" borderId="62" xfId="0" applyNumberFormat="1" applyFont="1" applyFill="1" applyBorder="1" applyAlignment="1">
      <alignment horizontal="center"/>
    </xf>
    <xf numFmtId="0" fontId="2" fillId="4" borderId="58" xfId="0" applyFont="1" applyFill="1" applyBorder="1" applyAlignment="1">
      <alignment horizontal="center"/>
    </xf>
    <xf numFmtId="0" fontId="32" fillId="4" borderId="26" xfId="0" applyFont="1" applyFill="1" applyBorder="1" applyAlignment="1">
      <alignment horizontal="center"/>
    </xf>
    <xf numFmtId="164" fontId="5" fillId="3" borderId="25" xfId="0" applyNumberFormat="1" applyFont="1" applyFill="1" applyBorder="1" applyAlignment="1">
      <alignment horizontal="center"/>
    </xf>
    <xf numFmtId="0" fontId="5" fillId="4" borderId="25" xfId="0" applyFont="1" applyFill="1" applyBorder="1" applyAlignment="1">
      <alignment horizontal="center"/>
    </xf>
    <xf numFmtId="0" fontId="12" fillId="4" borderId="34" xfId="0" applyFont="1" applyFill="1" applyBorder="1" applyAlignment="1">
      <alignment horizontal="center"/>
    </xf>
    <xf numFmtId="0" fontId="12" fillId="4" borderId="46" xfId="0" applyFont="1" applyFill="1" applyBorder="1" applyAlignment="1">
      <alignment horizontal="center"/>
    </xf>
    <xf numFmtId="2" fontId="2" fillId="3" borderId="22" xfId="0" applyNumberFormat="1" applyFont="1" applyFill="1" applyBorder="1" applyAlignment="1">
      <alignment horizontal="center"/>
    </xf>
    <xf numFmtId="0" fontId="5" fillId="4" borderId="49" xfId="0" applyFont="1" applyFill="1" applyBorder="1" applyAlignment="1">
      <alignment horizontal="center"/>
    </xf>
    <xf numFmtId="13" fontId="5" fillId="4" borderId="56" xfId="0" applyNumberFormat="1" applyFont="1" applyFill="1" applyBorder="1" applyAlignment="1">
      <alignment horizontal="center"/>
    </xf>
    <xf numFmtId="13" fontId="10" fillId="4" borderId="56" xfId="0" applyNumberFormat="1" applyFont="1" applyFill="1" applyBorder="1" applyAlignment="1">
      <alignment horizontal="center"/>
    </xf>
    <xf numFmtId="2" fontId="32" fillId="0" borderId="25" xfId="0" applyNumberFormat="1" applyFont="1" applyBorder="1" applyAlignment="1">
      <alignment horizontal="center"/>
    </xf>
    <xf numFmtId="2" fontId="32" fillId="3" borderId="34" xfId="0" applyNumberFormat="1" applyFont="1" applyFill="1" applyBorder="1" applyAlignment="1">
      <alignment horizontal="center"/>
    </xf>
    <xf numFmtId="164" fontId="32" fillId="0" borderId="25" xfId="0" applyNumberFormat="1" applyFont="1" applyBorder="1" applyAlignment="1">
      <alignment horizontal="center"/>
    </xf>
    <xf numFmtId="0" fontId="11" fillId="0" borderId="23" xfId="0" applyFont="1" applyBorder="1" applyAlignment="1">
      <alignment horizontal="center"/>
    </xf>
    <xf numFmtId="0" fontId="5" fillId="4" borderId="23" xfId="0" applyFont="1" applyFill="1" applyBorder="1" applyAlignment="1">
      <alignment horizontal="center"/>
    </xf>
    <xf numFmtId="0" fontId="32" fillId="4" borderId="25" xfId="0" applyFont="1" applyFill="1" applyBorder="1" applyAlignment="1">
      <alignment horizontal="center"/>
    </xf>
    <xf numFmtId="0" fontId="2" fillId="4" borderId="48" xfId="0" applyFont="1" applyFill="1" applyBorder="1" applyAlignment="1">
      <alignment horizontal="center"/>
    </xf>
    <xf numFmtId="0" fontId="12" fillId="4" borderId="0" xfId="0" applyFont="1" applyFill="1" applyBorder="1" applyAlignment="1">
      <alignment horizontal="center"/>
    </xf>
    <xf numFmtId="0" fontId="10" fillId="4" borderId="47" xfId="0" applyFont="1" applyFill="1" applyBorder="1" applyAlignment="1">
      <alignment horizontal="center"/>
    </xf>
    <xf numFmtId="0" fontId="38" fillId="0" borderId="0" xfId="0" applyFont="1"/>
    <xf numFmtId="166" fontId="0" fillId="0" borderId="0" xfId="0" applyNumberFormat="1"/>
    <xf numFmtId="0" fontId="10" fillId="0" borderId="0" xfId="0" applyFont="1" applyBorder="1" applyAlignment="1">
      <alignment horizontal="center"/>
    </xf>
    <xf numFmtId="167" fontId="12" fillId="4" borderId="51" xfId="0" applyNumberFormat="1" applyFont="1" applyFill="1" applyBorder="1" applyAlignment="1">
      <alignment horizontal="center"/>
    </xf>
    <xf numFmtId="0" fontId="0" fillId="0" borderId="22" xfId="0" applyBorder="1"/>
    <xf numFmtId="0" fontId="0" fillId="0" borderId="48" xfId="0" applyBorder="1"/>
    <xf numFmtId="0" fontId="0" fillId="0" borderId="24" xfId="0" applyBorder="1"/>
    <xf numFmtId="0" fontId="0" fillId="0" borderId="46" xfId="0" applyBorder="1"/>
    <xf numFmtId="0" fontId="2" fillId="0" borderId="0" xfId="0" applyFont="1" applyBorder="1" applyAlignment="1">
      <alignment horizontal="center"/>
    </xf>
    <xf numFmtId="0" fontId="0" fillId="0" borderId="58" xfId="0" applyBorder="1"/>
    <xf numFmtId="0" fontId="0" fillId="0" borderId="34" xfId="0" applyBorder="1"/>
    <xf numFmtId="0" fontId="0" fillId="0" borderId="47" xfId="0" applyBorder="1"/>
    <xf numFmtId="0" fontId="0" fillId="0" borderId="26" xfId="0" applyBorder="1"/>
    <xf numFmtId="166" fontId="33" fillId="0" borderId="0" xfId="0" applyNumberFormat="1" applyFont="1" applyBorder="1" applyAlignment="1">
      <alignment horizontal="center"/>
    </xf>
    <xf numFmtId="13" fontId="33" fillId="0" borderId="0" xfId="0" applyNumberFormat="1" applyFont="1" applyBorder="1" applyAlignment="1">
      <alignment horizontal="center"/>
    </xf>
    <xf numFmtId="164" fontId="0" fillId="0" borderId="0" xfId="0" applyNumberFormat="1"/>
    <xf numFmtId="2" fontId="0" fillId="0" borderId="0" xfId="0" applyNumberFormat="1"/>
    <xf numFmtId="0" fontId="0" fillId="0" borderId="0" xfId="0" applyAlignment="1">
      <alignment horizontal="right"/>
    </xf>
    <xf numFmtId="0" fontId="39" fillId="0" borderId="0" xfId="0" applyFont="1" applyBorder="1"/>
    <xf numFmtId="0" fontId="41" fillId="0" borderId="0" xfId="0" applyFont="1" applyBorder="1"/>
    <xf numFmtId="13" fontId="0" fillId="0" borderId="47" xfId="0" applyNumberFormat="1" applyBorder="1" applyAlignment="1">
      <alignment horizontal="center"/>
    </xf>
    <xf numFmtId="166" fontId="5" fillId="0" borderId="51" xfId="0" applyNumberFormat="1" applyFont="1" applyBorder="1" applyAlignment="1">
      <alignment horizontal="center"/>
    </xf>
    <xf numFmtId="0" fontId="44" fillId="0" borderId="48" xfId="0" applyFont="1" applyBorder="1"/>
    <xf numFmtId="0" fontId="44" fillId="0" borderId="0" xfId="0" applyFont="1" applyBorder="1"/>
    <xf numFmtId="166" fontId="5" fillId="0" borderId="51" xfId="0" applyNumberFormat="1" applyFont="1" applyBorder="1"/>
    <xf numFmtId="168" fontId="5" fillId="0" borderId="51" xfId="0" applyNumberFormat="1" applyFont="1" applyBorder="1" applyAlignment="1">
      <alignment horizontal="center"/>
    </xf>
    <xf numFmtId="0" fontId="5" fillId="4" borderId="11" xfId="0" applyFont="1" applyFill="1" applyBorder="1" applyAlignment="1">
      <alignment horizontal="left"/>
    </xf>
    <xf numFmtId="0" fontId="0" fillId="4" borderId="63" xfId="0" applyFill="1" applyBorder="1"/>
    <xf numFmtId="0" fontId="11" fillId="4" borderId="17" xfId="0" applyFont="1" applyFill="1" applyBorder="1" applyAlignment="1">
      <alignment horizontal="center"/>
    </xf>
    <xf numFmtId="166" fontId="5" fillId="0" borderId="57" xfId="0" applyNumberFormat="1" applyFont="1" applyBorder="1" applyAlignment="1">
      <alignment horizontal="center"/>
    </xf>
    <xf numFmtId="167" fontId="5" fillId="0" borderId="20" xfId="0" applyNumberFormat="1" applyFont="1" applyBorder="1" applyAlignment="1">
      <alignment horizontal="center"/>
    </xf>
    <xf numFmtId="166" fontId="5" fillId="3" borderId="0" xfId="0" applyNumberFormat="1" applyFont="1" applyFill="1" applyBorder="1" applyAlignment="1">
      <alignment horizontal="center"/>
    </xf>
    <xf numFmtId="167" fontId="5" fillId="3" borderId="0" xfId="0" applyNumberFormat="1" applyFont="1" applyFill="1" applyBorder="1" applyAlignment="1">
      <alignment horizontal="center"/>
    </xf>
    <xf numFmtId="14" fontId="10" fillId="0" borderId="0" xfId="0" applyNumberFormat="1" applyFont="1" applyAlignment="1">
      <alignment horizontal="center"/>
    </xf>
    <xf numFmtId="13" fontId="10" fillId="0" borderId="0" xfId="0" applyNumberFormat="1" applyFont="1" applyBorder="1" applyAlignment="1">
      <alignment horizontal="center"/>
    </xf>
    <xf numFmtId="166" fontId="5" fillId="0" borderId="0" xfId="0" applyNumberFormat="1" applyFont="1" applyBorder="1"/>
    <xf numFmtId="0" fontId="2" fillId="0" borderId="0" xfId="0" applyFont="1" applyBorder="1"/>
    <xf numFmtId="13" fontId="5" fillId="0" borderId="0" xfId="0" applyNumberFormat="1" applyFont="1" applyBorder="1" applyAlignment="1">
      <alignment horizontal="center"/>
    </xf>
    <xf numFmtId="167" fontId="0" fillId="0" borderId="0" xfId="0" applyNumberFormat="1"/>
    <xf numFmtId="0" fontId="0" fillId="3" borderId="34" xfId="0" applyFill="1" applyBorder="1"/>
    <xf numFmtId="0" fontId="0" fillId="3" borderId="47" xfId="0" applyFill="1" applyBorder="1"/>
    <xf numFmtId="0" fontId="0" fillId="3" borderId="26" xfId="0" applyFill="1" applyBorder="1"/>
    <xf numFmtId="13" fontId="0" fillId="0" borderId="0" xfId="0" applyNumberFormat="1" applyBorder="1" applyAlignment="1">
      <alignment horizontal="center"/>
    </xf>
    <xf numFmtId="168" fontId="5" fillId="0" borderId="0" xfId="0" applyNumberFormat="1" applyFont="1" applyBorder="1" applyAlignment="1">
      <alignment horizontal="center"/>
    </xf>
    <xf numFmtId="166" fontId="5" fillId="0" borderId="0" xfId="0" applyNumberFormat="1" applyFont="1" applyBorder="1" applyAlignment="1">
      <alignment horizontal="center"/>
    </xf>
    <xf numFmtId="166" fontId="0" fillId="0" borderId="0" xfId="0" applyNumberFormat="1" applyAlignment="1">
      <alignment horizontal="right"/>
    </xf>
    <xf numFmtId="0" fontId="11" fillId="0" borderId="64" xfId="0" applyFont="1" applyBorder="1" applyAlignment="1">
      <alignment horizontal="center"/>
    </xf>
    <xf numFmtId="0" fontId="8" fillId="0" borderId="65" xfId="0" applyFont="1" applyBorder="1"/>
    <xf numFmtId="0" fontId="8" fillId="0" borderId="66" xfId="0" applyFont="1" applyBorder="1"/>
    <xf numFmtId="0" fontId="5" fillId="0" borderId="66" xfId="0" applyFont="1" applyBorder="1"/>
    <xf numFmtId="0" fontId="8" fillId="0" borderId="67" xfId="0" applyFont="1" applyBorder="1"/>
    <xf numFmtId="0" fontId="8" fillId="0" borderId="68" xfId="0" applyFont="1" applyBorder="1"/>
    <xf numFmtId="0" fontId="8" fillId="0" borderId="64" xfId="0" applyFont="1" applyBorder="1"/>
    <xf numFmtId="0" fontId="5" fillId="0" borderId="69" xfId="0" applyFont="1" applyBorder="1" applyAlignment="1">
      <alignment horizontal="left"/>
    </xf>
    <xf numFmtId="0" fontId="11" fillId="0" borderId="70" xfId="0" applyFont="1" applyBorder="1" applyAlignment="1">
      <alignment horizontal="center"/>
    </xf>
    <xf numFmtId="0" fontId="45" fillId="0" borderId="70" xfId="0" applyFont="1" applyBorder="1" applyAlignment="1">
      <alignment horizontal="center"/>
    </xf>
    <xf numFmtId="0" fontId="4" fillId="0" borderId="70" xfId="0" applyFont="1" applyBorder="1" applyAlignment="1">
      <alignment horizontal="center"/>
    </xf>
    <xf numFmtId="0" fontId="2" fillId="0" borderId="70" xfId="0" applyFont="1" applyBorder="1" applyAlignment="1">
      <alignment horizontal="center"/>
    </xf>
    <xf numFmtId="0" fontId="46" fillId="0" borderId="70" xfId="0" applyFont="1" applyBorder="1" applyAlignment="1">
      <alignment horizontal="center"/>
    </xf>
    <xf numFmtId="0" fontId="47" fillId="0" borderId="70" xfId="0" applyFont="1" applyBorder="1" applyAlignment="1">
      <alignment horizontal="center"/>
    </xf>
    <xf numFmtId="0" fontId="8" fillId="0" borderId="71" xfId="0" applyFont="1" applyBorder="1"/>
    <xf numFmtId="0" fontId="11" fillId="0" borderId="72" xfId="0" applyFont="1" applyBorder="1" applyAlignment="1">
      <alignment horizontal="center"/>
    </xf>
    <xf numFmtId="0" fontId="45" fillId="0" borderId="72" xfId="0" applyFont="1" applyBorder="1" applyAlignment="1">
      <alignment horizontal="center"/>
    </xf>
    <xf numFmtId="0" fontId="48" fillId="0" borderId="72" xfId="0" applyFont="1" applyBorder="1" applyAlignment="1">
      <alignment horizontal="center"/>
    </xf>
    <xf numFmtId="0" fontId="45" fillId="0" borderId="73" xfId="0" applyFont="1" applyBorder="1" applyAlignment="1">
      <alignment horizontal="center"/>
    </xf>
    <xf numFmtId="13" fontId="4" fillId="7" borderId="74" xfId="0" applyNumberFormat="1" applyFont="1" applyFill="1" applyBorder="1"/>
    <xf numFmtId="0" fontId="8" fillId="0" borderId="5" xfId="0" applyFont="1" applyBorder="1" applyAlignment="1">
      <alignment horizontal="center"/>
    </xf>
    <xf numFmtId="164" fontId="8" fillId="6" borderId="75" xfId="0" applyNumberFormat="1" applyFont="1" applyFill="1" applyBorder="1" applyAlignment="1">
      <alignment horizontal="center"/>
    </xf>
    <xf numFmtId="164" fontId="8" fillId="0" borderId="74" xfId="0" applyNumberFormat="1" applyFont="1" applyBorder="1" applyAlignment="1">
      <alignment horizontal="center"/>
    </xf>
    <xf numFmtId="164" fontId="8" fillId="0" borderId="0" xfId="0" applyNumberFormat="1" applyFont="1" applyAlignment="1">
      <alignment horizontal="center"/>
    </xf>
    <xf numFmtId="12" fontId="49" fillId="0" borderId="74" xfId="0" applyNumberFormat="1" applyFont="1" applyBorder="1" applyAlignment="1">
      <alignment horizontal="center"/>
    </xf>
    <xf numFmtId="13" fontId="31" fillId="0" borderId="74" xfId="0" applyNumberFormat="1" applyFont="1" applyBorder="1" applyAlignment="1">
      <alignment horizontal="center"/>
    </xf>
    <xf numFmtId="12" fontId="50" fillId="0" borderId="74" xfId="0" applyNumberFormat="1" applyFont="1" applyBorder="1" applyAlignment="1">
      <alignment horizontal="center"/>
    </xf>
    <xf numFmtId="164" fontId="8" fillId="6" borderId="75" xfId="0" applyNumberFormat="1" applyFont="1" applyFill="1" applyBorder="1"/>
    <xf numFmtId="0" fontId="50" fillId="0" borderId="74" xfId="0" applyFont="1" applyBorder="1" applyAlignment="1">
      <alignment horizontal="center"/>
    </xf>
    <xf numFmtId="13" fontId="4" fillId="7" borderId="1" xfId="0" applyNumberFormat="1" applyFont="1" applyFill="1" applyBorder="1"/>
    <xf numFmtId="0" fontId="8" fillId="0" borderId="1" xfId="0" applyFont="1" applyBorder="1" applyAlignment="1">
      <alignment horizontal="center"/>
    </xf>
    <xf numFmtId="164" fontId="8" fillId="6" borderId="76" xfId="0" applyNumberFormat="1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12" fontId="49" fillId="0" borderId="1" xfId="0" applyNumberFormat="1" applyFont="1" applyBorder="1" applyAlignment="1">
      <alignment horizontal="center"/>
    </xf>
    <xf numFmtId="13" fontId="31" fillId="0" borderId="1" xfId="0" applyNumberFormat="1" applyFont="1" applyBorder="1" applyAlignment="1">
      <alignment horizontal="center"/>
    </xf>
    <xf numFmtId="13" fontId="50" fillId="0" borderId="1" xfId="0" applyNumberFormat="1" applyFont="1" applyBorder="1" applyAlignment="1">
      <alignment horizontal="center"/>
    </xf>
    <xf numFmtId="164" fontId="8" fillId="6" borderId="76" xfId="0" applyNumberFormat="1" applyFont="1" applyFill="1" applyBorder="1"/>
    <xf numFmtId="0" fontId="50" fillId="0" borderId="1" xfId="0" applyFont="1" applyBorder="1" applyAlignment="1">
      <alignment horizontal="center"/>
    </xf>
    <xf numFmtId="0" fontId="4" fillId="7" borderId="1" xfId="0" applyFont="1" applyFill="1" applyBorder="1" applyAlignment="1">
      <alignment horizontal="center"/>
    </xf>
    <xf numFmtId="0" fontId="51" fillId="0" borderId="1" xfId="0" applyFont="1" applyBorder="1" applyAlignment="1">
      <alignment horizontal="center"/>
    </xf>
    <xf numFmtId="12" fontId="52" fillId="0" borderId="1" xfId="0" applyNumberFormat="1" applyFont="1" applyBorder="1" applyAlignment="1">
      <alignment horizontal="center"/>
    </xf>
    <xf numFmtId="12" fontId="50" fillId="0" borderId="1" xfId="0" applyNumberFormat="1" applyFont="1" applyBorder="1" applyAlignment="1">
      <alignment horizontal="center"/>
    </xf>
    <xf numFmtId="0" fontId="31" fillId="0" borderId="1" xfId="0" applyFont="1" applyBorder="1" applyAlignment="1">
      <alignment horizontal="center"/>
    </xf>
    <xf numFmtId="12" fontId="51" fillId="0" borderId="1" xfId="0" applyNumberFormat="1" applyFont="1" applyBorder="1" applyAlignment="1">
      <alignment horizontal="center"/>
    </xf>
    <xf numFmtId="13" fontId="52" fillId="0" borderId="1" xfId="0" quotePrefix="1" applyNumberFormat="1" applyFont="1" applyBorder="1" applyAlignment="1">
      <alignment horizontal="center"/>
    </xf>
    <xf numFmtId="13" fontId="4" fillId="7" borderId="77" xfId="0" applyNumberFormat="1" applyFont="1" applyFill="1" applyBorder="1"/>
    <xf numFmtId="0" fontId="8" fillId="0" borderId="77" xfId="0" applyFont="1" applyBorder="1" applyAlignment="1">
      <alignment horizontal="center"/>
    </xf>
    <xf numFmtId="164" fontId="8" fillId="6" borderId="78" xfId="0" applyNumberFormat="1" applyFont="1" applyFill="1" applyBorder="1" applyAlignment="1">
      <alignment horizontal="center"/>
    </xf>
    <xf numFmtId="164" fontId="8" fillId="0" borderId="77" xfId="0" applyNumberFormat="1" applyFont="1" applyBorder="1" applyAlignment="1">
      <alignment horizontal="center"/>
    </xf>
    <xf numFmtId="164" fontId="8" fillId="0" borderId="79" xfId="0" applyNumberFormat="1" applyFont="1" applyBorder="1" applyAlignment="1">
      <alignment horizontal="center"/>
    </xf>
    <xf numFmtId="12" fontId="49" fillId="0" borderId="77" xfId="0" applyNumberFormat="1" applyFont="1" applyBorder="1" applyAlignment="1">
      <alignment horizontal="center"/>
    </xf>
    <xf numFmtId="12" fontId="31" fillId="0" borderId="77" xfId="0" applyNumberFormat="1" applyFont="1" applyBorder="1" applyAlignment="1">
      <alignment horizontal="center"/>
    </xf>
    <xf numFmtId="12" fontId="50" fillId="0" borderId="77" xfId="0" applyNumberFormat="1" applyFont="1" applyBorder="1" applyAlignment="1">
      <alignment horizontal="center"/>
    </xf>
    <xf numFmtId="12" fontId="51" fillId="0" borderId="77" xfId="0" applyNumberFormat="1" applyFont="1" applyBorder="1" applyAlignment="1">
      <alignment horizontal="center"/>
    </xf>
    <xf numFmtId="13" fontId="52" fillId="0" borderId="77" xfId="0" quotePrefix="1" applyNumberFormat="1" applyFont="1" applyBorder="1" applyAlignment="1">
      <alignment horizontal="center"/>
    </xf>
    <xf numFmtId="0" fontId="50" fillId="0" borderId="77" xfId="0" applyFont="1" applyBorder="1" applyAlignment="1">
      <alignment horizontal="center"/>
    </xf>
    <xf numFmtId="0" fontId="4" fillId="7" borderId="5" xfId="0" applyFont="1" applyFill="1" applyBorder="1" applyAlignment="1">
      <alignment horizontal="center"/>
    </xf>
    <xf numFmtId="164" fontId="8" fillId="0" borderId="5" xfId="0" applyNumberFormat="1" applyFont="1" applyBorder="1" applyAlignment="1">
      <alignment horizontal="center"/>
    </xf>
    <xf numFmtId="0" fontId="49" fillId="0" borderId="5" xfId="0" applyFont="1" applyBorder="1" applyAlignment="1">
      <alignment horizontal="center"/>
    </xf>
    <xf numFmtId="12" fontId="31" fillId="0" borderId="5" xfId="0" applyNumberFormat="1" applyFont="1" applyBorder="1" applyAlignment="1">
      <alignment horizontal="center"/>
    </xf>
    <xf numFmtId="13" fontId="50" fillId="0" borderId="5" xfId="0" applyNumberFormat="1" applyFont="1" applyBorder="1" applyAlignment="1">
      <alignment horizontal="center"/>
    </xf>
    <xf numFmtId="0" fontId="51" fillId="0" borderId="5" xfId="0" applyFont="1" applyBorder="1" applyAlignment="1">
      <alignment horizontal="center"/>
    </xf>
    <xf numFmtId="13" fontId="52" fillId="0" borderId="5" xfId="0" quotePrefix="1" applyNumberFormat="1" applyFont="1" applyBorder="1" applyAlignment="1">
      <alignment horizontal="center"/>
    </xf>
    <xf numFmtId="12" fontId="50" fillId="0" borderId="5" xfId="0" applyNumberFormat="1" applyFont="1" applyBorder="1" applyAlignment="1">
      <alignment horizontal="center"/>
    </xf>
    <xf numFmtId="0" fontId="50" fillId="0" borderId="5" xfId="0" applyFont="1" applyBorder="1" applyAlignment="1">
      <alignment horizontal="center"/>
    </xf>
    <xf numFmtId="12" fontId="31" fillId="0" borderId="1" xfId="0" applyNumberFormat="1" applyFont="1" applyBorder="1" applyAlignment="1">
      <alignment horizontal="center"/>
    </xf>
    <xf numFmtId="12" fontId="52" fillId="0" borderId="77" xfId="0" applyNumberFormat="1" applyFont="1" applyBorder="1" applyAlignment="1">
      <alignment horizontal="center"/>
    </xf>
    <xf numFmtId="12" fontId="52" fillId="0" borderId="5" xfId="0" applyNumberFormat="1" applyFont="1" applyBorder="1" applyAlignment="1">
      <alignment horizontal="center"/>
    </xf>
    <xf numFmtId="13" fontId="50" fillId="0" borderId="5" xfId="0" quotePrefix="1" applyNumberFormat="1" applyFont="1" applyBorder="1" applyAlignment="1">
      <alignment horizontal="center"/>
    </xf>
    <xf numFmtId="0" fontId="50" fillId="0" borderId="1" xfId="0" applyNumberFormat="1" applyFont="1" applyBorder="1" applyAlignment="1">
      <alignment horizontal="center"/>
    </xf>
    <xf numFmtId="0" fontId="50" fillId="0" borderId="1" xfId="0" quotePrefix="1" applyFont="1" applyBorder="1" applyAlignment="1">
      <alignment horizontal="center"/>
    </xf>
    <xf numFmtId="0" fontId="49" fillId="0" borderId="1" xfId="0" applyFont="1" applyBorder="1" applyAlignment="1">
      <alignment horizontal="center"/>
    </xf>
    <xf numFmtId="0" fontId="4" fillId="7" borderId="77" xfId="0" applyFont="1" applyFill="1" applyBorder="1" applyAlignment="1">
      <alignment horizontal="center"/>
    </xf>
    <xf numFmtId="0" fontId="49" fillId="0" borderId="77" xfId="0" applyFont="1" applyBorder="1" applyAlignment="1">
      <alignment horizontal="center"/>
    </xf>
    <xf numFmtId="0" fontId="31" fillId="0" borderId="77" xfId="0" applyNumberFormat="1" applyFont="1" applyBorder="1" applyAlignment="1">
      <alignment horizontal="center"/>
    </xf>
    <xf numFmtId="13" fontId="50" fillId="0" borderId="77" xfId="0" applyNumberFormat="1" applyFont="1" applyBorder="1" applyAlignment="1">
      <alignment horizontal="center"/>
    </xf>
    <xf numFmtId="0" fontId="51" fillId="0" borderId="77" xfId="0" applyFont="1" applyBorder="1" applyAlignment="1">
      <alignment horizontal="center"/>
    </xf>
    <xf numFmtId="0" fontId="52" fillId="0" borderId="1" xfId="0" applyNumberFormat="1" applyFont="1" applyBorder="1" applyAlignment="1">
      <alignment horizontal="center"/>
    </xf>
    <xf numFmtId="0" fontId="52" fillId="0" borderId="77" xfId="0" applyNumberFormat="1" applyFont="1" applyBorder="1" applyAlignment="1">
      <alignment horizontal="center"/>
    </xf>
    <xf numFmtId="164" fontId="8" fillId="6" borderId="78" xfId="0" applyNumberFormat="1" applyFont="1" applyFill="1" applyBorder="1"/>
    <xf numFmtId="0" fontId="52" fillId="0" borderId="5" xfId="0" applyNumberFormat="1" applyFont="1" applyBorder="1" applyAlignment="1">
      <alignment horizontal="center"/>
    </xf>
    <xf numFmtId="0" fontId="31" fillId="0" borderId="1" xfId="0" applyNumberFormat="1" applyFont="1" applyBorder="1" applyAlignment="1">
      <alignment horizontal="center"/>
    </xf>
    <xf numFmtId="0" fontId="4" fillId="7" borderId="29" xfId="0" applyFont="1" applyFill="1" applyBorder="1" applyAlignment="1">
      <alignment horizontal="center"/>
    </xf>
    <xf numFmtId="164" fontId="8" fillId="6" borderId="80" xfId="0" applyNumberFormat="1" applyFont="1" applyFill="1" applyBorder="1" applyAlignment="1">
      <alignment horizontal="center"/>
    </xf>
    <xf numFmtId="164" fontId="8" fillId="0" borderId="29" xfId="0" applyNumberFormat="1" applyFont="1" applyBorder="1" applyAlignment="1">
      <alignment horizontal="center"/>
    </xf>
    <xf numFmtId="164" fontId="8" fillId="0" borderId="30" xfId="0" applyNumberFormat="1" applyFont="1" applyBorder="1" applyAlignment="1">
      <alignment horizontal="center"/>
    </xf>
    <xf numFmtId="0" fontId="49" fillId="0" borderId="29" xfId="0" applyFont="1" applyBorder="1" applyAlignment="1">
      <alignment horizontal="center"/>
    </xf>
    <xf numFmtId="12" fontId="31" fillId="0" borderId="29" xfId="0" applyNumberFormat="1" applyFont="1" applyBorder="1" applyAlignment="1">
      <alignment horizontal="center"/>
    </xf>
    <xf numFmtId="164" fontId="8" fillId="6" borderId="80" xfId="0" applyNumberFormat="1" applyFont="1" applyFill="1" applyBorder="1"/>
    <xf numFmtId="0" fontId="51" fillId="0" borderId="29" xfId="0" applyFont="1" applyBorder="1" applyAlignment="1">
      <alignment horizontal="center"/>
    </xf>
    <xf numFmtId="12" fontId="50" fillId="0" borderId="29" xfId="0" applyNumberFormat="1" applyFont="1" applyBorder="1" applyAlignment="1">
      <alignment horizontal="center"/>
    </xf>
    <xf numFmtId="0" fontId="45" fillId="0" borderId="0" xfId="0" applyFont="1" applyAlignment="1">
      <alignment horizontal="center"/>
    </xf>
    <xf numFmtId="0" fontId="53" fillId="0" borderId="70" xfId="0" applyFont="1" applyBorder="1" applyAlignment="1">
      <alignment horizontal="center"/>
    </xf>
    <xf numFmtId="0" fontId="48" fillId="0" borderId="72" xfId="0" applyFont="1" applyBorder="1" applyAlignment="1">
      <alignment horizontal="left"/>
    </xf>
    <xf numFmtId="1" fontId="4" fillId="7" borderId="81" xfId="0" applyNumberFormat="1" applyFont="1" applyFill="1" applyBorder="1" applyAlignment="1">
      <alignment horizontal="center"/>
    </xf>
    <xf numFmtId="2" fontId="8" fillId="0" borderId="81" xfId="0" applyNumberFormat="1" applyFont="1" applyBorder="1" applyAlignment="1">
      <alignment horizontal="center"/>
    </xf>
    <xf numFmtId="2" fontId="8" fillId="0" borderId="0" xfId="0" applyNumberFormat="1" applyFont="1" applyAlignment="1">
      <alignment horizontal="center"/>
    </xf>
    <xf numFmtId="165" fontId="49" fillId="0" borderId="74" xfId="0" applyNumberFormat="1" applyFont="1" applyBorder="1" applyAlignment="1">
      <alignment horizontal="center"/>
    </xf>
    <xf numFmtId="165" fontId="31" fillId="0" borderId="74" xfId="0" applyNumberFormat="1" applyFont="1" applyBorder="1" applyAlignment="1">
      <alignment horizontal="center"/>
    </xf>
    <xf numFmtId="165" fontId="50" fillId="0" borderId="74" xfId="0" applyNumberFormat="1" applyFont="1" applyBorder="1" applyAlignment="1">
      <alignment horizontal="center"/>
    </xf>
    <xf numFmtId="1" fontId="4" fillId="7" borderId="1" xfId="0" applyNumberFormat="1" applyFont="1" applyFill="1" applyBorder="1" applyAlignment="1">
      <alignment horizontal="center"/>
    </xf>
    <xf numFmtId="2" fontId="8" fillId="0" borderId="1" xfId="0" applyNumberFormat="1" applyFont="1" applyBorder="1" applyAlignment="1">
      <alignment horizontal="center"/>
    </xf>
    <xf numFmtId="165" fontId="49" fillId="0" borderId="1" xfId="0" applyNumberFormat="1" applyFont="1" applyBorder="1" applyAlignment="1">
      <alignment horizontal="center"/>
    </xf>
    <xf numFmtId="165" fontId="31" fillId="0" borderId="1" xfId="0" applyNumberFormat="1" applyFont="1" applyBorder="1" applyAlignment="1">
      <alignment horizontal="center"/>
    </xf>
    <xf numFmtId="165" fontId="50" fillId="0" borderId="1" xfId="0" applyNumberFormat="1" applyFont="1" applyBorder="1" applyAlignment="1">
      <alignment horizontal="center"/>
    </xf>
    <xf numFmtId="165" fontId="54" fillId="0" borderId="1" xfId="0" applyNumberFormat="1" applyFont="1" applyBorder="1" applyAlignment="1">
      <alignment horizontal="center"/>
    </xf>
    <xf numFmtId="165" fontId="52" fillId="0" borderId="1" xfId="0" applyNumberFormat="1" applyFont="1" applyBorder="1" applyAlignment="1">
      <alignment horizontal="center"/>
    </xf>
    <xf numFmtId="1" fontId="4" fillId="7" borderId="82" xfId="0" applyNumberFormat="1" applyFont="1" applyFill="1" applyBorder="1" applyAlignment="1">
      <alignment horizontal="center"/>
    </xf>
    <xf numFmtId="2" fontId="8" fillId="0" borderId="82" xfId="0" applyNumberFormat="1" applyFont="1" applyBorder="1" applyAlignment="1">
      <alignment horizontal="center"/>
    </xf>
    <xf numFmtId="165" fontId="49" fillId="0" borderId="5" xfId="0" applyNumberFormat="1" applyFont="1" applyBorder="1" applyAlignment="1">
      <alignment horizontal="center"/>
    </xf>
    <xf numFmtId="165" fontId="31" fillId="0" borderId="5" xfId="0" applyNumberFormat="1" applyFont="1" applyBorder="1" applyAlignment="1">
      <alignment horizontal="center"/>
    </xf>
    <xf numFmtId="165" fontId="50" fillId="0" borderId="5" xfId="0" applyNumberFormat="1" applyFont="1" applyBorder="1" applyAlignment="1">
      <alignment horizontal="center"/>
    </xf>
    <xf numFmtId="165" fontId="54" fillId="0" borderId="5" xfId="0" applyNumberFormat="1" applyFont="1" applyBorder="1" applyAlignment="1">
      <alignment horizontal="center"/>
    </xf>
    <xf numFmtId="165" fontId="52" fillId="0" borderId="5" xfId="0" applyNumberFormat="1" applyFont="1" applyBorder="1" applyAlignment="1">
      <alignment horizontal="center"/>
    </xf>
    <xf numFmtId="1" fontId="4" fillId="7" borderId="6" xfId="0" applyNumberFormat="1" applyFont="1" applyFill="1" applyBorder="1" applyAlignment="1">
      <alignment horizontal="center"/>
    </xf>
    <xf numFmtId="2" fontId="8" fillId="0" borderId="6" xfId="0" applyNumberFormat="1" applyFont="1" applyBorder="1" applyAlignment="1">
      <alignment horizontal="center"/>
    </xf>
    <xf numFmtId="165" fontId="54" fillId="0" borderId="74" xfId="0" applyNumberFormat="1" applyFont="1" applyBorder="1" applyAlignment="1">
      <alignment horizontal="center"/>
    </xf>
    <xf numFmtId="165" fontId="52" fillId="0" borderId="74" xfId="0" applyNumberFormat="1" applyFont="1" applyBorder="1" applyAlignment="1">
      <alignment horizontal="center"/>
    </xf>
    <xf numFmtId="1" fontId="4" fillId="7" borderId="77" xfId="0" applyNumberFormat="1" applyFont="1" applyFill="1" applyBorder="1" applyAlignment="1">
      <alignment horizontal="center"/>
    </xf>
    <xf numFmtId="2" fontId="8" fillId="0" borderId="77" xfId="0" applyNumberFormat="1" applyFont="1" applyBorder="1" applyAlignment="1">
      <alignment horizontal="center"/>
    </xf>
    <xf numFmtId="1" fontId="4" fillId="7" borderId="5" xfId="0" applyNumberFormat="1" applyFont="1" applyFill="1" applyBorder="1" applyAlignment="1">
      <alignment horizontal="center"/>
    </xf>
    <xf numFmtId="165" fontId="50" fillId="0" borderId="82" xfId="0" applyNumberFormat="1" applyFont="1" applyBorder="1" applyAlignment="1">
      <alignment horizontal="center"/>
    </xf>
    <xf numFmtId="0" fontId="0" fillId="0" borderId="64" xfId="0" applyBorder="1"/>
    <xf numFmtId="0" fontId="50" fillId="0" borderId="70" xfId="0" applyFont="1" applyBorder="1" applyAlignment="1">
      <alignment horizontal="center"/>
    </xf>
    <xf numFmtId="0" fontId="23" fillId="0" borderId="70" xfId="0" applyFont="1" applyBorder="1" applyAlignment="1">
      <alignment horizontal="center"/>
    </xf>
    <xf numFmtId="13" fontId="4" fillId="7" borderId="83" xfId="0" applyNumberFormat="1" applyFont="1" applyFill="1" applyBorder="1" applyAlignment="1">
      <alignment horizontal="center"/>
    </xf>
    <xf numFmtId="13" fontId="2" fillId="0" borderId="81" xfId="0" applyNumberFormat="1" applyFont="1" applyBorder="1" applyAlignment="1">
      <alignment horizontal="center"/>
    </xf>
    <xf numFmtId="12" fontId="2" fillId="0" borderId="81" xfId="0" applyNumberFormat="1" applyFont="1" applyBorder="1" applyAlignment="1">
      <alignment horizontal="center"/>
    </xf>
    <xf numFmtId="0" fontId="14" fillId="0" borderId="84" xfId="0" applyFont="1" applyBorder="1"/>
    <xf numFmtId="0" fontId="14" fillId="0" borderId="85" xfId="0" applyFont="1" applyBorder="1"/>
    <xf numFmtId="12" fontId="4" fillId="7" borderId="83" xfId="0" applyNumberFormat="1" applyFont="1" applyFill="1" applyBorder="1" applyAlignment="1">
      <alignment horizontal="center"/>
    </xf>
    <xf numFmtId="0" fontId="4" fillId="7" borderId="83" xfId="0" applyNumberFormat="1" applyFont="1" applyFill="1" applyBorder="1" applyAlignment="1">
      <alignment horizontal="center"/>
    </xf>
    <xf numFmtId="0" fontId="2" fillId="0" borderId="81" xfId="0" applyNumberFormat="1" applyFont="1" applyBorder="1" applyAlignment="1">
      <alignment horizontal="center"/>
    </xf>
    <xf numFmtId="13" fontId="4" fillId="7" borderId="86" xfId="0" applyNumberFormat="1" applyFont="1" applyFill="1" applyBorder="1" applyAlignment="1">
      <alignment horizontal="center"/>
    </xf>
    <xf numFmtId="13" fontId="2" fillId="0" borderId="82" xfId="0" applyNumberFormat="1" applyFont="1" applyBorder="1" applyAlignment="1">
      <alignment horizontal="center"/>
    </xf>
    <xf numFmtId="12" fontId="2" fillId="0" borderId="82" xfId="0" applyNumberFormat="1" applyFont="1" applyBorder="1" applyAlignment="1">
      <alignment horizontal="center"/>
    </xf>
    <xf numFmtId="0" fontId="4" fillId="7" borderId="87" xfId="0" applyNumberFormat="1" applyFont="1" applyFill="1" applyBorder="1" applyAlignment="1">
      <alignment horizontal="center"/>
    </xf>
    <xf numFmtId="0" fontId="2" fillId="0" borderId="1" xfId="0" applyNumberFormat="1" applyFont="1" applyBorder="1" applyAlignment="1">
      <alignment horizontal="center"/>
    </xf>
    <xf numFmtId="12" fontId="2" fillId="0" borderId="1" xfId="0" applyNumberFormat="1" applyFont="1" applyBorder="1" applyAlignment="1">
      <alignment horizontal="center"/>
    </xf>
    <xf numFmtId="0" fontId="4" fillId="7" borderId="83" xfId="0" applyFont="1" applyFill="1" applyBorder="1" applyAlignment="1">
      <alignment horizontal="center"/>
    </xf>
    <xf numFmtId="0" fontId="4" fillId="7" borderId="87" xfId="0" applyFont="1" applyFill="1" applyBorder="1" applyAlignment="1">
      <alignment horizontal="center"/>
    </xf>
    <xf numFmtId="0" fontId="4" fillId="7" borderId="86" xfId="0" applyFont="1" applyFill="1" applyBorder="1" applyAlignment="1">
      <alignment horizontal="center"/>
    </xf>
    <xf numFmtId="12" fontId="4" fillId="7" borderId="86" xfId="0" applyNumberFormat="1" applyFont="1" applyFill="1" applyBorder="1" applyAlignment="1">
      <alignment horizontal="center"/>
    </xf>
    <xf numFmtId="0" fontId="4" fillId="7" borderId="86" xfId="0" applyNumberFormat="1" applyFont="1" applyFill="1" applyBorder="1" applyAlignment="1">
      <alignment horizontal="center"/>
    </xf>
    <xf numFmtId="0" fontId="2" fillId="0" borderId="82" xfId="0" applyNumberFormat="1" applyFont="1" applyBorder="1" applyAlignment="1">
      <alignment horizontal="center"/>
    </xf>
    <xf numFmtId="12" fontId="4" fillId="7" borderId="87" xfId="0" applyNumberFormat="1" applyFont="1" applyFill="1" applyBorder="1" applyAlignment="1">
      <alignment horizontal="center"/>
    </xf>
    <xf numFmtId="0" fontId="2" fillId="0" borderId="6" xfId="0" applyNumberFormat="1" applyFont="1" applyBorder="1" applyAlignment="1">
      <alignment horizontal="center"/>
    </xf>
    <xf numFmtId="0" fontId="4" fillId="7" borderId="88" xfId="0" applyNumberFormat="1" applyFont="1" applyFill="1" applyBorder="1" applyAlignment="1">
      <alignment horizontal="center"/>
    </xf>
    <xf numFmtId="0" fontId="2" fillId="0" borderId="81" xfId="0" applyFont="1" applyBorder="1" applyAlignment="1">
      <alignment horizontal="center"/>
    </xf>
    <xf numFmtId="0" fontId="4" fillId="0" borderId="0" xfId="0" applyNumberFormat="1" applyFont="1" applyAlignment="1">
      <alignment horizontal="center"/>
    </xf>
    <xf numFmtId="0" fontId="2" fillId="0" borderId="0" xfId="0" applyNumberFormat="1" applyFont="1" applyAlignment="1">
      <alignment horizontal="center"/>
    </xf>
    <xf numFmtId="0" fontId="4" fillId="0" borderId="0" xfId="0" applyNumberFormat="1" applyFont="1" applyFill="1" applyAlignment="1">
      <alignment horizontal="center"/>
    </xf>
    <xf numFmtId="0" fontId="45" fillId="0" borderId="0" xfId="0" applyNumberFormat="1" applyFont="1" applyAlignment="1">
      <alignment horizontal="center"/>
    </xf>
    <xf numFmtId="0" fontId="2" fillId="0" borderId="82" xfId="0" applyFont="1" applyBorder="1" applyAlignment="1">
      <alignment horizontal="center"/>
    </xf>
    <xf numFmtId="0" fontId="4" fillId="0" borderId="0" xfId="0" applyFont="1" applyAlignment="1">
      <alignment horizontal="center"/>
    </xf>
    <xf numFmtId="1" fontId="4" fillId="7" borderId="89" xfId="0" applyNumberFormat="1" applyFont="1" applyFill="1" applyBorder="1" applyAlignment="1">
      <alignment horizontal="center"/>
    </xf>
    <xf numFmtId="1" fontId="2" fillId="0" borderId="81" xfId="0" applyNumberFormat="1" applyFont="1" applyFill="1" applyBorder="1" applyAlignment="1">
      <alignment horizontal="center"/>
    </xf>
    <xf numFmtId="1" fontId="4" fillId="7" borderId="83" xfId="0" applyNumberFormat="1" applyFont="1" applyFill="1" applyBorder="1" applyAlignment="1">
      <alignment horizontal="center"/>
    </xf>
    <xf numFmtId="1" fontId="2" fillId="0" borderId="74" xfId="0" applyNumberFormat="1" applyFont="1" applyFill="1" applyBorder="1" applyAlignment="1">
      <alignment horizontal="center"/>
    </xf>
    <xf numFmtId="1" fontId="4" fillId="7" borderId="90" xfId="0" applyNumberFormat="1" applyFont="1" applyFill="1" applyBorder="1" applyAlignment="1">
      <alignment horizontal="center"/>
    </xf>
    <xf numFmtId="1" fontId="2" fillId="0" borderId="82" xfId="0" applyNumberFormat="1" applyFont="1" applyFill="1" applyBorder="1" applyAlignment="1">
      <alignment horizontal="center"/>
    </xf>
    <xf numFmtId="0" fontId="4" fillId="7" borderId="28" xfId="0" applyNumberFormat="1" applyFont="1" applyFill="1" applyBorder="1" applyAlignment="1">
      <alignment horizontal="center"/>
    </xf>
    <xf numFmtId="1" fontId="2" fillId="0" borderId="1" xfId="0" applyNumberFormat="1" applyFont="1" applyFill="1" applyBorder="1" applyAlignment="1">
      <alignment horizontal="center"/>
    </xf>
    <xf numFmtId="1" fontId="4" fillId="7" borderId="91" xfId="0" applyNumberFormat="1" applyFont="1" applyFill="1" applyBorder="1" applyAlignment="1">
      <alignment horizontal="center"/>
    </xf>
    <xf numFmtId="1" fontId="4" fillId="7" borderId="87" xfId="0" applyNumberFormat="1" applyFont="1" applyFill="1" applyBorder="1" applyAlignment="1">
      <alignment horizontal="center"/>
    </xf>
    <xf numFmtId="1" fontId="4" fillId="7" borderId="92" xfId="0" applyNumberFormat="1" applyFont="1" applyFill="1" applyBorder="1" applyAlignment="1">
      <alignment horizontal="center"/>
    </xf>
    <xf numFmtId="1" fontId="4" fillId="7" borderId="86" xfId="0" applyNumberFormat="1" applyFont="1" applyFill="1" applyBorder="1" applyAlignment="1">
      <alignment horizontal="center"/>
    </xf>
    <xf numFmtId="0" fontId="55" fillId="0" borderId="70" xfId="0" applyFont="1" applyBorder="1" applyAlignment="1">
      <alignment horizontal="center"/>
    </xf>
    <xf numFmtId="12" fontId="47" fillId="0" borderId="81" xfId="0" applyNumberFormat="1" applyFont="1" applyBorder="1" applyAlignment="1">
      <alignment horizontal="center"/>
    </xf>
    <xf numFmtId="12" fontId="47" fillId="0" borderId="82" xfId="0" applyNumberFormat="1" applyFont="1" applyBorder="1" applyAlignment="1">
      <alignment horizontal="center"/>
    </xf>
    <xf numFmtId="12" fontId="47" fillId="0" borderId="1" xfId="0" applyNumberFormat="1" applyFont="1" applyBorder="1" applyAlignment="1">
      <alignment horizontal="center"/>
    </xf>
    <xf numFmtId="0" fontId="47" fillId="0" borderId="81" xfId="0" applyNumberFormat="1" applyFont="1" applyBorder="1" applyAlignment="1">
      <alignment horizontal="center"/>
    </xf>
    <xf numFmtId="0" fontId="47" fillId="0" borderId="1" xfId="0" applyNumberFormat="1" applyFont="1" applyBorder="1" applyAlignment="1">
      <alignment horizontal="center"/>
    </xf>
    <xf numFmtId="0" fontId="47" fillId="0" borderId="82" xfId="0" applyNumberFormat="1" applyFont="1" applyBorder="1" applyAlignment="1">
      <alignment horizontal="center"/>
    </xf>
    <xf numFmtId="1" fontId="47" fillId="0" borderId="81" xfId="0" applyNumberFormat="1" applyFont="1" applyFill="1" applyBorder="1" applyAlignment="1">
      <alignment horizontal="center"/>
    </xf>
    <xf numFmtId="1" fontId="47" fillId="0" borderId="82" xfId="0" applyNumberFormat="1" applyFont="1" applyFill="1" applyBorder="1" applyAlignment="1">
      <alignment horizontal="center"/>
    </xf>
    <xf numFmtId="1" fontId="47" fillId="0" borderId="74" xfId="0" applyNumberFormat="1" applyFont="1" applyFill="1" applyBorder="1" applyAlignment="1">
      <alignment horizontal="center"/>
    </xf>
    <xf numFmtId="1" fontId="47" fillId="0" borderId="1" xfId="0" applyNumberFormat="1" applyFont="1" applyFill="1" applyBorder="1" applyAlignment="1">
      <alignment horizontal="center"/>
    </xf>
    <xf numFmtId="0" fontId="6" fillId="0" borderId="70" xfId="0" applyFont="1" applyBorder="1" applyAlignment="1">
      <alignment horizontal="center"/>
    </xf>
    <xf numFmtId="0" fontId="56" fillId="0" borderId="84" xfId="0" applyFont="1" applyBorder="1"/>
    <xf numFmtId="12" fontId="4" fillId="0" borderId="82" xfId="0" applyNumberFormat="1" applyFont="1" applyBorder="1" applyAlignment="1">
      <alignment horizontal="center"/>
    </xf>
    <xf numFmtId="12" fontId="4" fillId="0" borderId="1" xfId="0" applyNumberFormat="1" applyFont="1" applyBorder="1" applyAlignment="1">
      <alignment horizontal="center"/>
    </xf>
    <xf numFmtId="0" fontId="56" fillId="0" borderId="93" xfId="0" applyFont="1" applyBorder="1"/>
    <xf numFmtId="12" fontId="4" fillId="0" borderId="6" xfId="0" applyNumberFormat="1" applyFont="1" applyBorder="1" applyAlignment="1">
      <alignment horizontal="center"/>
    </xf>
    <xf numFmtId="0" fontId="4" fillId="0" borderId="82" xfId="0" applyNumberFormat="1" applyFont="1" applyBorder="1" applyAlignment="1">
      <alignment horizontal="center"/>
    </xf>
    <xf numFmtId="0" fontId="4" fillId="0" borderId="81" xfId="0" applyFont="1" applyBorder="1" applyAlignment="1">
      <alignment horizontal="center"/>
    </xf>
    <xf numFmtId="0" fontId="4" fillId="0" borderId="82" xfId="0" applyFont="1" applyBorder="1" applyAlignment="1">
      <alignment horizontal="center"/>
    </xf>
    <xf numFmtId="1" fontId="4" fillId="0" borderId="82" xfId="0" applyNumberFormat="1" applyFont="1" applyFill="1" applyBorder="1" applyAlignment="1">
      <alignment horizontal="center"/>
    </xf>
    <xf numFmtId="0" fontId="56" fillId="0" borderId="80" xfId="0" applyFont="1" applyBorder="1"/>
    <xf numFmtId="1" fontId="4" fillId="0" borderId="1" xfId="0" applyNumberFormat="1" applyFont="1" applyFill="1" applyBorder="1" applyAlignment="1">
      <alignment horizontal="center"/>
    </xf>
    <xf numFmtId="1" fontId="4" fillId="0" borderId="74" xfId="0" applyNumberFormat="1" applyFont="1" applyFill="1" applyBorder="1" applyAlignment="1">
      <alignment horizontal="center"/>
    </xf>
    <xf numFmtId="12" fontId="47" fillId="0" borderId="74" xfId="0" applyNumberFormat="1" applyFont="1" applyBorder="1" applyAlignment="1">
      <alignment horizontal="center"/>
    </xf>
    <xf numFmtId="12" fontId="47" fillId="0" borderId="29" xfId="0" applyNumberFormat="1" applyFont="1" applyBorder="1" applyAlignment="1">
      <alignment horizontal="center"/>
    </xf>
    <xf numFmtId="0" fontId="47" fillId="0" borderId="74" xfId="0" applyNumberFormat="1" applyFont="1" applyBorder="1" applyAlignment="1">
      <alignment horizontal="center"/>
    </xf>
    <xf numFmtId="0" fontId="47" fillId="0" borderId="1" xfId="0" applyFont="1" applyBorder="1" applyAlignment="1">
      <alignment horizontal="center"/>
    </xf>
    <xf numFmtId="0" fontId="47" fillId="0" borderId="82" xfId="0" applyFont="1" applyBorder="1" applyAlignment="1">
      <alignment horizontal="center"/>
    </xf>
    <xf numFmtId="0" fontId="47" fillId="0" borderId="81" xfId="0" applyFont="1" applyBorder="1" applyAlignment="1">
      <alignment horizontal="center"/>
    </xf>
    <xf numFmtId="0" fontId="57" fillId="0" borderId="70" xfId="0" applyFont="1" applyBorder="1" applyAlignment="1">
      <alignment horizontal="center"/>
    </xf>
    <xf numFmtId="12" fontId="58" fillId="0" borderId="94" xfId="0" applyNumberFormat="1" applyFont="1" applyBorder="1" applyAlignment="1">
      <alignment horizontal="center"/>
    </xf>
    <xf numFmtId="0" fontId="59" fillId="0" borderId="85" xfId="0" applyFont="1" applyBorder="1"/>
    <xf numFmtId="0" fontId="58" fillId="0" borderId="95" xfId="0" applyNumberFormat="1" applyFont="1" applyBorder="1" applyAlignment="1">
      <alignment horizontal="center"/>
    </xf>
    <xf numFmtId="0" fontId="58" fillId="0" borderId="94" xfId="0" applyNumberFormat="1" applyFont="1" applyBorder="1" applyAlignment="1">
      <alignment horizontal="center"/>
    </xf>
    <xf numFmtId="12" fontId="58" fillId="0" borderId="95" xfId="0" applyNumberFormat="1" applyFont="1" applyBorder="1" applyAlignment="1">
      <alignment horizontal="center"/>
    </xf>
    <xf numFmtId="0" fontId="58" fillId="0" borderId="96" xfId="0" applyNumberFormat="1" applyFont="1" applyBorder="1" applyAlignment="1">
      <alignment horizontal="center"/>
    </xf>
    <xf numFmtId="0" fontId="58" fillId="0" borderId="97" xfId="0" applyNumberFormat="1" applyFont="1" applyBorder="1" applyAlignment="1">
      <alignment horizontal="center"/>
    </xf>
    <xf numFmtId="0" fontId="58" fillId="0" borderId="95" xfId="0" applyFont="1" applyBorder="1" applyAlignment="1">
      <alignment horizontal="center"/>
    </xf>
    <xf numFmtId="0" fontId="58" fillId="0" borderId="94" xfId="0" applyFont="1" applyBorder="1" applyAlignment="1">
      <alignment horizontal="center"/>
    </xf>
    <xf numFmtId="1" fontId="58" fillId="0" borderId="82" xfId="0" applyNumberFormat="1" applyFont="1" applyFill="1" applyBorder="1" applyAlignment="1">
      <alignment horizontal="center"/>
    </xf>
    <xf numFmtId="0" fontId="59" fillId="0" borderId="98" xfId="0" applyFont="1" applyBorder="1"/>
    <xf numFmtId="1" fontId="58" fillId="0" borderId="1" xfId="0" applyNumberFormat="1" applyFont="1" applyFill="1" applyBorder="1" applyAlignment="1">
      <alignment horizontal="center"/>
    </xf>
    <xf numFmtId="1" fontId="58" fillId="0" borderId="95" xfId="0" applyNumberFormat="1" applyFont="1" applyFill="1" applyBorder="1" applyAlignment="1">
      <alignment horizontal="center"/>
    </xf>
    <xf numFmtId="1" fontId="58" fillId="0" borderId="94" xfId="0" applyNumberFormat="1" applyFont="1" applyFill="1" applyBorder="1" applyAlignment="1">
      <alignment horizontal="center"/>
    </xf>
    <xf numFmtId="0" fontId="58" fillId="0" borderId="72" xfId="0" applyFont="1" applyBorder="1" applyAlignment="1">
      <alignment horizontal="center"/>
    </xf>
    <xf numFmtId="0" fontId="47" fillId="0" borderId="72" xfId="0" applyFont="1" applyBorder="1" applyAlignment="1">
      <alignment horizontal="center"/>
    </xf>
    <xf numFmtId="0" fontId="4" fillId="0" borderId="72" xfId="0" applyFont="1" applyBorder="1" applyAlignment="1">
      <alignment horizontal="center"/>
    </xf>
    <xf numFmtId="0" fontId="4" fillId="0" borderId="64" xfId="0" applyFont="1" applyBorder="1" applyAlignment="1">
      <alignment horizontal="center"/>
    </xf>
    <xf numFmtId="0" fontId="2" fillId="0" borderId="72" xfId="0" applyFont="1" applyBorder="1" applyAlignment="1">
      <alignment horizontal="center"/>
    </xf>
    <xf numFmtId="0" fontId="60" fillId="0" borderId="0" xfId="0" applyFont="1"/>
    <xf numFmtId="0" fontId="39" fillId="0" borderId="0" xfId="0" applyFont="1"/>
    <xf numFmtId="0" fontId="2" fillId="0" borderId="64" xfId="0" applyFont="1" applyBorder="1" applyAlignment="1">
      <alignment horizontal="center"/>
    </xf>
    <xf numFmtId="13" fontId="4" fillId="7" borderId="99" xfId="0" quotePrefix="1" applyNumberFormat="1" applyFont="1" applyFill="1" applyBorder="1" applyAlignment="1">
      <alignment horizontal="center"/>
    </xf>
    <xf numFmtId="0" fontId="2" fillId="0" borderId="89" xfId="0" applyFont="1" applyBorder="1" applyAlignment="1">
      <alignment horizontal="center"/>
    </xf>
    <xf numFmtId="0" fontId="2" fillId="0" borderId="99" xfId="0" applyFont="1" applyBorder="1" applyAlignment="1">
      <alignment horizontal="center"/>
    </xf>
    <xf numFmtId="0" fontId="2" fillId="0" borderId="100" xfId="0" applyFont="1" applyBorder="1" applyAlignment="1">
      <alignment horizontal="center"/>
    </xf>
    <xf numFmtId="0" fontId="2" fillId="0" borderId="101" xfId="0" applyFont="1" applyBorder="1" applyAlignment="1">
      <alignment horizontal="center"/>
    </xf>
    <xf numFmtId="2" fontId="4" fillId="7" borderId="64" xfId="0" quotePrefix="1" applyNumberFormat="1" applyFont="1" applyFill="1" applyBorder="1" applyAlignment="1">
      <alignment horizontal="center"/>
    </xf>
    <xf numFmtId="165" fontId="2" fillId="0" borderId="99" xfId="0" applyNumberFormat="1" applyFont="1" applyBorder="1" applyAlignment="1">
      <alignment horizontal="center"/>
    </xf>
    <xf numFmtId="13" fontId="4" fillId="7" borderId="102" xfId="0" quotePrefix="1" applyNumberFormat="1" applyFont="1" applyFill="1" applyBorder="1" applyAlignment="1">
      <alignment horizontal="center"/>
    </xf>
    <xf numFmtId="0" fontId="2" fillId="0" borderId="103" xfId="0" applyFont="1" applyBorder="1" applyAlignment="1">
      <alignment horizontal="center"/>
    </xf>
    <xf numFmtId="0" fontId="2" fillId="0" borderId="102" xfId="0" applyFont="1" applyBorder="1" applyAlignment="1">
      <alignment horizontal="center"/>
    </xf>
    <xf numFmtId="0" fontId="2" fillId="0" borderId="104" xfId="0" applyFont="1" applyBorder="1" applyAlignment="1">
      <alignment horizontal="center"/>
    </xf>
    <xf numFmtId="2" fontId="4" fillId="7" borderId="102" xfId="0" quotePrefix="1" applyNumberFormat="1" applyFont="1" applyFill="1" applyBorder="1" applyAlignment="1">
      <alignment horizontal="center"/>
    </xf>
    <xf numFmtId="165" fontId="2" fillId="0" borderId="102" xfId="0" applyNumberFormat="1" applyFont="1" applyBorder="1" applyAlignment="1">
      <alignment horizontal="center"/>
    </xf>
    <xf numFmtId="0" fontId="4" fillId="7" borderId="102" xfId="0" applyFont="1" applyFill="1" applyBorder="1" applyAlignment="1">
      <alignment horizontal="center"/>
    </xf>
    <xf numFmtId="12" fontId="4" fillId="7" borderId="102" xfId="0" applyNumberFormat="1" applyFont="1" applyFill="1" applyBorder="1" applyAlignment="1">
      <alignment horizontal="center"/>
    </xf>
    <xf numFmtId="12" fontId="4" fillId="7" borderId="105" xfId="0" applyNumberFormat="1" applyFont="1" applyFill="1" applyBorder="1" applyAlignment="1">
      <alignment horizontal="center"/>
    </xf>
    <xf numFmtId="0" fontId="2" fillId="0" borderId="106" xfId="0" applyFont="1" applyBorder="1" applyAlignment="1">
      <alignment horizontal="center"/>
    </xf>
    <xf numFmtId="0" fontId="2" fillId="0" borderId="105" xfId="0" applyFont="1" applyBorder="1" applyAlignment="1">
      <alignment horizontal="center"/>
    </xf>
    <xf numFmtId="0" fontId="2" fillId="0" borderId="107" xfId="0" applyFont="1" applyBorder="1" applyAlignment="1">
      <alignment horizontal="center"/>
    </xf>
    <xf numFmtId="0" fontId="2" fillId="0" borderId="108" xfId="0" applyFont="1" applyBorder="1" applyAlignment="1">
      <alignment horizontal="center"/>
    </xf>
    <xf numFmtId="2" fontId="4" fillId="7" borderId="105" xfId="0" quotePrefix="1" applyNumberFormat="1" applyFont="1" applyFill="1" applyBorder="1" applyAlignment="1">
      <alignment horizontal="center"/>
    </xf>
    <xf numFmtId="0" fontId="4" fillId="7" borderId="109" xfId="0" applyFont="1" applyFill="1" applyBorder="1" applyAlignment="1">
      <alignment horizontal="center"/>
    </xf>
    <xf numFmtId="0" fontId="4" fillId="7" borderId="105" xfId="0" applyFont="1" applyFill="1" applyBorder="1" applyAlignment="1">
      <alignment horizontal="center"/>
    </xf>
    <xf numFmtId="165" fontId="2" fillId="0" borderId="105" xfId="0" applyNumberFormat="1" applyFont="1" applyBorder="1" applyAlignment="1">
      <alignment horizontal="center"/>
    </xf>
    <xf numFmtId="0" fontId="2" fillId="0" borderId="110" xfId="0" applyFont="1" applyBorder="1" applyAlignment="1">
      <alignment horizontal="center"/>
    </xf>
    <xf numFmtId="0" fontId="2" fillId="0" borderId="111" xfId="0" applyFont="1" applyBorder="1" applyAlignment="1">
      <alignment horizontal="center"/>
    </xf>
    <xf numFmtId="0" fontId="2" fillId="0" borderId="112" xfId="0" applyFont="1" applyBorder="1" applyAlignment="1">
      <alignment horizontal="center"/>
    </xf>
    <xf numFmtId="0" fontId="0" fillId="0" borderId="65" xfId="0" applyBorder="1"/>
    <xf numFmtId="0" fontId="0" fillId="0" borderId="66" xfId="0" applyBorder="1"/>
    <xf numFmtId="0" fontId="0" fillId="0" borderId="67" xfId="0" applyBorder="1"/>
    <xf numFmtId="0" fontId="5" fillId="0" borderId="66" xfId="0" applyFont="1" applyBorder="1" applyAlignment="1">
      <alignment horizontal="left"/>
    </xf>
    <xf numFmtId="13" fontId="50" fillId="0" borderId="99" xfId="0" applyNumberFormat="1" applyFont="1" applyBorder="1" applyAlignment="1">
      <alignment horizontal="center"/>
    </xf>
    <xf numFmtId="13" fontId="50" fillId="0" borderId="99" xfId="0" quotePrefix="1" applyNumberFormat="1" applyFont="1" applyBorder="1" applyAlignment="1">
      <alignment horizontal="center"/>
    </xf>
    <xf numFmtId="12" fontId="50" fillId="0" borderId="99" xfId="0" quotePrefix="1" applyNumberFormat="1" applyFont="1" applyBorder="1" applyAlignment="1">
      <alignment horizontal="center"/>
    </xf>
    <xf numFmtId="14" fontId="50" fillId="0" borderId="64" xfId="0" quotePrefix="1" applyNumberFormat="1" applyFont="1" applyBorder="1" applyAlignment="1">
      <alignment horizontal="center"/>
    </xf>
    <xf numFmtId="1" fontId="2" fillId="0" borderId="64" xfId="0" quotePrefix="1" applyNumberFormat="1" applyFont="1" applyFill="1" applyBorder="1" applyAlignment="1">
      <alignment horizontal="center"/>
    </xf>
    <xf numFmtId="13" fontId="50" fillId="0" borderId="102" xfId="0" quotePrefix="1" applyNumberFormat="1" applyFont="1" applyBorder="1" applyAlignment="1">
      <alignment horizontal="center"/>
    </xf>
    <xf numFmtId="13" fontId="50" fillId="0" borderId="102" xfId="0" applyNumberFormat="1" applyFont="1" applyBorder="1" applyAlignment="1">
      <alignment horizontal="center"/>
    </xf>
    <xf numFmtId="14" fontId="50" fillId="0" borderId="102" xfId="0" quotePrefix="1" applyNumberFormat="1" applyFont="1" applyBorder="1" applyAlignment="1">
      <alignment horizontal="center"/>
    </xf>
    <xf numFmtId="1" fontId="2" fillId="0" borderId="102" xfId="0" quotePrefix="1" applyNumberFormat="1" applyFont="1" applyFill="1" applyBorder="1" applyAlignment="1">
      <alignment horizontal="center"/>
    </xf>
    <xf numFmtId="12" fontId="50" fillId="0" borderId="102" xfId="0" quotePrefix="1" applyNumberFormat="1" applyFont="1" applyBorder="1" applyAlignment="1">
      <alignment horizontal="center"/>
    </xf>
    <xf numFmtId="1" fontId="2" fillId="0" borderId="113" xfId="0" quotePrefix="1" applyNumberFormat="1" applyFont="1" applyFill="1" applyBorder="1" applyAlignment="1">
      <alignment horizontal="center"/>
    </xf>
    <xf numFmtId="0" fontId="50" fillId="0" borderId="105" xfId="0" applyNumberFormat="1" applyFont="1" applyBorder="1" applyAlignment="1">
      <alignment horizontal="center"/>
    </xf>
    <xf numFmtId="13" fontId="50" fillId="0" borderId="105" xfId="0" quotePrefix="1" applyNumberFormat="1" applyFont="1" applyBorder="1" applyAlignment="1">
      <alignment horizontal="center"/>
    </xf>
    <xf numFmtId="13" fontId="50" fillId="0" borderId="105" xfId="0" applyNumberFormat="1" applyFont="1" applyBorder="1" applyAlignment="1">
      <alignment horizontal="center"/>
    </xf>
    <xf numFmtId="14" fontId="50" fillId="0" borderId="105" xfId="0" quotePrefix="1" applyNumberFormat="1" applyFont="1" applyBorder="1" applyAlignment="1">
      <alignment horizontal="center"/>
    </xf>
    <xf numFmtId="1" fontId="2" fillId="0" borderId="105" xfId="0" quotePrefix="1" applyNumberFormat="1" applyFont="1" applyFill="1" applyBorder="1" applyAlignment="1">
      <alignment horizontal="center"/>
    </xf>
    <xf numFmtId="0" fontId="50" fillId="0" borderId="109" xfId="0" applyNumberFormat="1" applyFont="1" applyBorder="1" applyAlignment="1">
      <alignment horizontal="center"/>
    </xf>
    <xf numFmtId="13" fontId="50" fillId="0" borderId="109" xfId="0" quotePrefix="1" applyNumberFormat="1" applyFont="1" applyBorder="1" applyAlignment="1">
      <alignment horizontal="center"/>
    </xf>
    <xf numFmtId="12" fontId="50" fillId="0" borderId="109" xfId="0" quotePrefix="1" applyNumberFormat="1" applyFont="1" applyBorder="1" applyAlignment="1">
      <alignment horizontal="center"/>
    </xf>
    <xf numFmtId="13" fontId="50" fillId="0" borderId="109" xfId="0" applyNumberFormat="1" applyFont="1" applyBorder="1" applyAlignment="1">
      <alignment horizontal="center"/>
    </xf>
    <xf numFmtId="0" fontId="50" fillId="0" borderId="109" xfId="0" quotePrefix="1" applyFont="1" applyBorder="1" applyAlignment="1">
      <alignment horizontal="center"/>
    </xf>
    <xf numFmtId="0" fontId="50" fillId="0" borderId="102" xfId="0" applyNumberFormat="1" applyFont="1" applyBorder="1" applyAlignment="1">
      <alignment horizontal="center"/>
    </xf>
    <xf numFmtId="0" fontId="50" fillId="0" borderId="102" xfId="0" quotePrefix="1" applyFont="1" applyBorder="1" applyAlignment="1">
      <alignment horizontal="center"/>
    </xf>
    <xf numFmtId="0" fontId="50" fillId="0" borderId="105" xfId="0" applyFont="1" applyBorder="1" applyAlignment="1">
      <alignment horizontal="center"/>
    </xf>
    <xf numFmtId="0" fontId="50" fillId="0" borderId="105" xfId="0" quotePrefix="1" applyFont="1" applyBorder="1" applyAlignment="1">
      <alignment horizontal="center"/>
    </xf>
    <xf numFmtId="0" fontId="50" fillId="0" borderId="102" xfId="0" applyFont="1" applyBorder="1" applyAlignment="1">
      <alignment horizontal="center"/>
    </xf>
    <xf numFmtId="16" fontId="50" fillId="0" borderId="102" xfId="0" quotePrefix="1" applyNumberFormat="1" applyFont="1" applyBorder="1" applyAlignment="1">
      <alignment horizontal="center"/>
    </xf>
    <xf numFmtId="12" fontId="50" fillId="0" borderId="105" xfId="0" quotePrefix="1" applyNumberFormat="1" applyFont="1" applyBorder="1" applyAlignment="1">
      <alignment horizontal="center"/>
    </xf>
    <xf numFmtId="0" fontId="50" fillId="0" borderId="109" xfId="0" applyFont="1" applyBorder="1" applyAlignment="1">
      <alignment horizontal="center"/>
    </xf>
    <xf numFmtId="13" fontId="50" fillId="0" borderId="111" xfId="0" quotePrefix="1" applyNumberFormat="1" applyFont="1" applyBorder="1" applyAlignment="1">
      <alignment horizontal="center"/>
    </xf>
    <xf numFmtId="13" fontId="50" fillId="0" borderId="112" xfId="0" quotePrefix="1" applyNumberFormat="1" applyFont="1" applyBorder="1" applyAlignment="1">
      <alignment horizontal="center"/>
    </xf>
    <xf numFmtId="0" fontId="4" fillId="0" borderId="66" xfId="0" applyFont="1" applyBorder="1" applyAlignment="1">
      <alignment horizontal="left"/>
    </xf>
    <xf numFmtId="0" fontId="7" fillId="0" borderId="72" xfId="0" applyFont="1" applyBorder="1" applyAlignment="1">
      <alignment horizontal="center"/>
    </xf>
    <xf numFmtId="0" fontId="61" fillId="0" borderId="72" xfId="0" applyFont="1" applyBorder="1" applyAlignment="1">
      <alignment horizontal="center"/>
    </xf>
    <xf numFmtId="0" fontId="62" fillId="0" borderId="72" xfId="0" applyFont="1" applyBorder="1" applyAlignment="1">
      <alignment horizontal="center"/>
    </xf>
    <xf numFmtId="0" fontId="63" fillId="0" borderId="72" xfId="0" applyFont="1" applyBorder="1" applyAlignment="1">
      <alignment horizontal="center"/>
    </xf>
    <xf numFmtId="0" fontId="26" fillId="3" borderId="0" xfId="0" applyFont="1" applyFill="1" applyAlignment="1">
      <alignment horizontal="left"/>
    </xf>
    <xf numFmtId="0" fontId="64" fillId="0" borderId="0" xfId="0" applyFont="1"/>
    <xf numFmtId="0" fontId="5" fillId="0" borderId="0" xfId="0" applyFont="1" applyAlignment="1">
      <alignment horizontal="center"/>
    </xf>
    <xf numFmtId="0" fontId="65" fillId="0" borderId="0" xfId="0" applyFont="1"/>
    <xf numFmtId="0" fontId="11" fillId="0" borderId="0" xfId="0" applyFont="1" applyAlignment="1">
      <alignment horizontal="left"/>
    </xf>
    <xf numFmtId="0" fontId="48" fillId="0" borderId="0" xfId="0" applyFont="1" applyAlignment="1">
      <alignment horizontal="left"/>
    </xf>
    <xf numFmtId="0" fontId="48" fillId="0" borderId="0" xfId="0" applyFont="1" applyAlignment="1">
      <alignment horizontal="center"/>
    </xf>
    <xf numFmtId="0" fontId="30" fillId="0" borderId="0" xfId="0" applyFont="1"/>
    <xf numFmtId="0" fontId="5" fillId="0" borderId="83" xfId="0" applyFont="1" applyBorder="1" applyAlignment="1">
      <alignment horizontal="center"/>
    </xf>
    <xf numFmtId="0" fontId="5" fillId="0" borderId="114" xfId="0" applyFont="1" applyBorder="1" applyAlignment="1">
      <alignment horizontal="center"/>
    </xf>
    <xf numFmtId="0" fontId="5" fillId="0" borderId="94" xfId="0" applyFont="1" applyBorder="1" applyAlignment="1">
      <alignment horizontal="center"/>
    </xf>
    <xf numFmtId="166" fontId="5" fillId="0" borderId="86" xfId="0" applyNumberFormat="1" applyFont="1" applyBorder="1" applyAlignment="1">
      <alignment horizontal="center"/>
    </xf>
    <xf numFmtId="0" fontId="12" fillId="0" borderId="82" xfId="0" applyFont="1" applyBorder="1" applyAlignment="1">
      <alignment horizontal="center"/>
    </xf>
    <xf numFmtId="166" fontId="5" fillId="0" borderId="82" xfId="0" applyNumberFormat="1" applyFont="1" applyBorder="1" applyAlignment="1">
      <alignment horizontal="center"/>
    </xf>
    <xf numFmtId="0" fontId="12" fillId="0" borderId="81" xfId="0" applyFont="1" applyBorder="1" applyAlignment="1">
      <alignment horizontal="center"/>
    </xf>
    <xf numFmtId="0" fontId="5" fillId="0" borderId="81" xfId="0" applyFont="1" applyBorder="1" applyAlignment="1">
      <alignment horizontal="center"/>
    </xf>
    <xf numFmtId="0" fontId="12" fillId="0" borderId="114" xfId="0" applyFont="1" applyBorder="1" applyAlignment="1">
      <alignment horizontal="center"/>
    </xf>
    <xf numFmtId="0" fontId="12" fillId="0" borderId="101" xfId="0" applyFont="1" applyBorder="1" applyAlignment="1">
      <alignment horizontal="center"/>
    </xf>
    <xf numFmtId="0" fontId="5" fillId="0" borderId="0" xfId="0" applyFont="1" applyAlignment="1">
      <alignment horizontal="left"/>
    </xf>
    <xf numFmtId="0" fontId="28" fillId="0" borderId="0" xfId="0" applyFont="1" applyAlignment="1">
      <alignment horizontal="left"/>
    </xf>
    <xf numFmtId="0" fontId="12" fillId="0" borderId="83" xfId="0" applyFont="1" applyBorder="1" applyAlignment="1">
      <alignment horizontal="center"/>
    </xf>
    <xf numFmtId="0" fontId="5" fillId="0" borderId="82" xfId="0" applyFont="1" applyBorder="1" applyAlignment="1">
      <alignment horizontal="center"/>
    </xf>
    <xf numFmtId="166" fontId="12" fillId="0" borderId="82" xfId="0" applyNumberFormat="1" applyFont="1" applyBorder="1" applyAlignment="1">
      <alignment horizontal="center"/>
    </xf>
    <xf numFmtId="166" fontId="12" fillId="0" borderId="94" xfId="0" applyNumberFormat="1" applyFont="1" applyBorder="1" applyAlignment="1">
      <alignment horizontal="center"/>
    </xf>
    <xf numFmtId="166" fontId="5" fillId="0" borderId="97" xfId="0" applyNumberFormat="1" applyFont="1" applyBorder="1" applyAlignment="1">
      <alignment horizontal="center"/>
    </xf>
    <xf numFmtId="166" fontId="12" fillId="0" borderId="86" xfId="0" applyNumberFormat="1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12" fillId="0" borderId="0" xfId="0" applyFont="1" applyBorder="1" applyAlignment="1">
      <alignment horizontal="center"/>
    </xf>
    <xf numFmtId="166" fontId="12" fillId="0" borderId="0" xfId="0" applyNumberFormat="1" applyFont="1" applyBorder="1" applyAlignment="1">
      <alignment horizontal="center"/>
    </xf>
    <xf numFmtId="166" fontId="12" fillId="0" borderId="87" xfId="0" applyNumberFormat="1" applyFont="1" applyBorder="1" applyAlignment="1" applyProtection="1">
      <alignment horizontal="center"/>
      <protection locked="0" hidden="1"/>
    </xf>
    <xf numFmtId="166" fontId="12" fillId="0" borderId="1" xfId="0" applyNumberFormat="1" applyFont="1" applyBorder="1" applyAlignment="1">
      <alignment horizontal="center"/>
    </xf>
    <xf numFmtId="0" fontId="5" fillId="0" borderId="95" xfId="0" applyFont="1" applyBorder="1" applyAlignment="1">
      <alignment horizontal="center"/>
    </xf>
    <xf numFmtId="0" fontId="12" fillId="0" borderId="0" xfId="0" applyFont="1"/>
    <xf numFmtId="166" fontId="12" fillId="0" borderId="66" xfId="0" applyNumberFormat="1" applyFont="1" applyBorder="1" applyAlignment="1">
      <alignment horizontal="center"/>
    </xf>
    <xf numFmtId="0" fontId="12" fillId="0" borderId="66" xfId="0" applyFont="1" applyBorder="1" applyAlignment="1">
      <alignment horizontal="center"/>
    </xf>
    <xf numFmtId="0" fontId="5" fillId="0" borderId="66" xfId="0" applyFont="1" applyBorder="1" applyAlignment="1">
      <alignment horizontal="center"/>
    </xf>
    <xf numFmtId="0" fontId="66" fillId="0" borderId="0" xfId="0" applyFont="1"/>
    <xf numFmtId="166" fontId="2" fillId="0" borderId="73" xfId="0" applyNumberFormat="1" applyFont="1" applyBorder="1"/>
    <xf numFmtId="0" fontId="67" fillId="0" borderId="0" xfId="0" applyFont="1"/>
    <xf numFmtId="0" fontId="68" fillId="0" borderId="0" xfId="0" applyFont="1"/>
    <xf numFmtId="0" fontId="69" fillId="0" borderId="0" xfId="0" applyFont="1"/>
    <xf numFmtId="13" fontId="10" fillId="3" borderId="57" xfId="0" applyNumberFormat="1" applyFont="1" applyFill="1" applyBorder="1" applyAlignment="1" applyProtection="1">
      <alignment horizontal="center"/>
      <protection locked="0"/>
    </xf>
    <xf numFmtId="13" fontId="10" fillId="3" borderId="51" xfId="0" applyNumberFormat="1" applyFont="1" applyFill="1" applyBorder="1" applyAlignment="1" applyProtection="1">
      <alignment horizontal="center"/>
      <protection locked="0"/>
    </xf>
    <xf numFmtId="164" fontId="10" fillId="0" borderId="51" xfId="0" applyNumberFormat="1" applyFont="1" applyBorder="1" applyAlignment="1" applyProtection="1">
      <alignment horizontal="center"/>
      <protection locked="0"/>
    </xf>
    <xf numFmtId="13" fontId="10" fillId="0" borderId="51" xfId="0" applyNumberFormat="1" applyFont="1" applyBorder="1" applyProtection="1">
      <protection locked="0"/>
    </xf>
    <xf numFmtId="2" fontId="10" fillId="3" borderId="51" xfId="0" applyNumberFormat="1" applyFont="1" applyFill="1" applyBorder="1" applyAlignment="1" applyProtection="1">
      <alignment horizontal="center"/>
      <protection locked="0"/>
    </xf>
    <xf numFmtId="2" fontId="10" fillId="3" borderId="57" xfId="0" applyNumberFormat="1" applyFont="1" applyFill="1" applyBorder="1" applyAlignment="1" applyProtection="1">
      <alignment horizontal="center"/>
      <protection locked="0"/>
    </xf>
    <xf numFmtId="0" fontId="11" fillId="0" borderId="73" xfId="0" applyFont="1" applyBorder="1" applyAlignment="1" applyProtection="1">
      <alignment horizontal="center"/>
      <protection locked="0"/>
    </xf>
    <xf numFmtId="13" fontId="11" fillId="0" borderId="73" xfId="0" applyNumberFormat="1" applyFont="1" applyBorder="1" applyProtection="1">
      <protection locked="0"/>
    </xf>
    <xf numFmtId="0" fontId="5" fillId="0" borderId="86" xfId="0" applyFont="1" applyBorder="1" applyAlignment="1" applyProtection="1">
      <alignment horizontal="center"/>
      <protection locked="0"/>
    </xf>
    <xf numFmtId="0" fontId="5" fillId="0" borderId="94" xfId="0" applyFont="1" applyBorder="1" applyAlignment="1" applyProtection="1">
      <alignment horizontal="center"/>
      <protection locked="0"/>
    </xf>
    <xf numFmtId="0" fontId="12" fillId="0" borderId="94" xfId="0" applyFont="1" applyBorder="1" applyAlignment="1" applyProtection="1">
      <alignment horizontal="center"/>
      <protection locked="0"/>
    </xf>
    <xf numFmtId="166" fontId="5" fillId="0" borderId="86" xfId="0" applyNumberFormat="1" applyFont="1" applyBorder="1" applyAlignment="1" applyProtection="1">
      <alignment horizontal="center"/>
      <protection locked="0"/>
    </xf>
    <xf numFmtId="166" fontId="12" fillId="0" borderId="82" xfId="0" applyNumberFormat="1" applyFont="1" applyBorder="1" applyAlignment="1" applyProtection="1">
      <alignment horizontal="center"/>
      <protection locked="0"/>
    </xf>
    <xf numFmtId="166" fontId="12" fillId="0" borderId="94" xfId="0" applyNumberFormat="1" applyFont="1" applyBorder="1" applyAlignment="1" applyProtection="1">
      <alignment horizontal="center"/>
      <protection locked="0"/>
    </xf>
    <xf numFmtId="166" fontId="5" fillId="0" borderId="94" xfId="0" applyNumberFormat="1" applyFont="1" applyBorder="1" applyAlignment="1" applyProtection="1">
      <alignment horizontal="center"/>
      <protection locked="0"/>
    </xf>
    <xf numFmtId="166" fontId="5" fillId="0" borderId="82" xfId="0" applyNumberFormat="1" applyFont="1" applyBorder="1" applyAlignment="1" applyProtection="1">
      <alignment horizontal="center"/>
      <protection locked="0"/>
    </xf>
    <xf numFmtId="13" fontId="10" fillId="0" borderId="51" xfId="0" applyNumberFormat="1" applyFont="1" applyBorder="1" applyAlignment="1" applyProtection="1">
      <alignment horizontal="center"/>
      <protection locked="0"/>
    </xf>
    <xf numFmtId="166" fontId="10" fillId="0" borderId="51" xfId="0" applyNumberFormat="1" applyFont="1" applyBorder="1" applyAlignment="1" applyProtection="1">
      <alignment horizontal="center"/>
      <protection locked="0"/>
    </xf>
    <xf numFmtId="13" fontId="33" fillId="0" borderId="51" xfId="0" applyNumberFormat="1" applyFont="1" applyBorder="1" applyAlignment="1" applyProtection="1">
      <alignment horizontal="center"/>
      <protection locked="0"/>
    </xf>
    <xf numFmtId="0" fontId="10" fillId="4" borderId="25" xfId="0" applyFont="1" applyFill="1" applyBorder="1" applyAlignment="1" applyProtection="1">
      <alignment horizontal="center"/>
      <protection locked="0"/>
    </xf>
    <xf numFmtId="0" fontId="10" fillId="4" borderId="25" xfId="0" applyNumberFormat="1" applyFont="1" applyFill="1" applyBorder="1" applyAlignment="1" applyProtection="1">
      <alignment horizontal="center"/>
      <protection locked="0"/>
    </xf>
    <xf numFmtId="165" fontId="2" fillId="0" borderId="73" xfId="0" applyNumberFormat="1" applyFont="1" applyBorder="1"/>
    <xf numFmtId="13" fontId="5" fillId="0" borderId="0" xfId="0" applyNumberFormat="1" applyFont="1" applyAlignment="1">
      <alignment horizontal="center"/>
    </xf>
    <xf numFmtId="0" fontId="2" fillId="0" borderId="91" xfId="0" applyFont="1" applyBorder="1" applyAlignment="1">
      <alignment horizontal="center"/>
    </xf>
    <xf numFmtId="0" fontId="45" fillId="0" borderId="74" xfId="0" applyFont="1" applyFill="1" applyBorder="1" applyAlignment="1">
      <alignment horizontal="center"/>
    </xf>
    <xf numFmtId="0" fontId="2" fillId="0" borderId="74" xfId="0" applyFont="1" applyBorder="1" applyAlignment="1">
      <alignment horizontal="center"/>
    </xf>
    <xf numFmtId="0" fontId="2" fillId="0" borderId="115" xfId="0" applyFont="1" applyBorder="1" applyAlignment="1">
      <alignment horizontal="center"/>
    </xf>
    <xf numFmtId="0" fontId="45" fillId="0" borderId="23" xfId="0" applyFont="1" applyFill="1" applyBorder="1" applyAlignment="1">
      <alignment horizontal="center"/>
    </xf>
    <xf numFmtId="0" fontId="45" fillId="0" borderId="24" xfId="0" applyFont="1" applyFill="1" applyBorder="1" applyAlignment="1">
      <alignment horizontal="center"/>
    </xf>
    <xf numFmtId="0" fontId="11" fillId="0" borderId="77" xfId="0" applyFont="1" applyBorder="1" applyAlignment="1">
      <alignment horizontal="center"/>
    </xf>
    <xf numFmtId="0" fontId="2" fillId="0" borderId="77" xfId="0" applyFont="1" applyBorder="1" applyAlignment="1">
      <alignment horizontal="center"/>
    </xf>
    <xf numFmtId="0" fontId="2" fillId="0" borderId="116" xfId="0" applyFont="1" applyBorder="1" applyAlignment="1">
      <alignment horizontal="center"/>
    </xf>
    <xf numFmtId="0" fontId="11" fillId="0" borderId="116" xfId="0" applyFont="1" applyBorder="1" applyAlignment="1">
      <alignment horizontal="center"/>
    </xf>
    <xf numFmtId="0" fontId="0" fillId="0" borderId="79" xfId="0" applyBorder="1"/>
    <xf numFmtId="0" fontId="45" fillId="0" borderId="32" xfId="0" applyFont="1" applyFill="1" applyBorder="1" applyAlignment="1">
      <alignment horizontal="center"/>
    </xf>
    <xf numFmtId="0" fontId="45" fillId="0" borderId="59" xfId="0" applyFont="1" applyFill="1" applyBorder="1" applyAlignment="1">
      <alignment horizontal="center"/>
    </xf>
    <xf numFmtId="164" fontId="45" fillId="0" borderId="25" xfId="0" applyNumberFormat="1" applyFont="1" applyBorder="1" applyAlignment="1">
      <alignment horizontal="center"/>
    </xf>
    <xf numFmtId="0" fontId="0" fillId="0" borderId="117" xfId="0" applyBorder="1"/>
    <xf numFmtId="0" fontId="45" fillId="0" borderId="48" xfId="0" applyFont="1" applyFill="1" applyBorder="1" applyAlignment="1">
      <alignment horizontal="center"/>
    </xf>
    <xf numFmtId="0" fontId="7" fillId="0" borderId="30" xfId="0" applyFont="1" applyFill="1" applyBorder="1" applyAlignment="1">
      <alignment horizontal="center"/>
    </xf>
    <xf numFmtId="2" fontId="48" fillId="3" borderId="26" xfId="0" applyNumberFormat="1" applyFont="1" applyFill="1" applyBorder="1" applyAlignment="1">
      <alignment horizontal="center"/>
    </xf>
    <xf numFmtId="0" fontId="2" fillId="0" borderId="118" xfId="0" applyFont="1" applyBorder="1" applyAlignment="1">
      <alignment horizontal="center"/>
    </xf>
    <xf numFmtId="0" fontId="11" fillId="0" borderId="119" xfId="0" applyFont="1" applyBorder="1" applyAlignment="1">
      <alignment horizontal="center"/>
    </xf>
    <xf numFmtId="0" fontId="11" fillId="0" borderId="120" xfId="0" applyFont="1" applyBorder="1" applyAlignment="1">
      <alignment horizontal="center"/>
    </xf>
    <xf numFmtId="0" fontId="4" fillId="0" borderId="0" xfId="0" applyFont="1"/>
    <xf numFmtId="0" fontId="14" fillId="0" borderId="0" xfId="0" applyFont="1" applyBorder="1" applyAlignment="1">
      <alignment horizontal="center"/>
    </xf>
    <xf numFmtId="0" fontId="25" fillId="0" borderId="0" xfId="0" applyFont="1" applyBorder="1"/>
    <xf numFmtId="0" fontId="70" fillId="0" borderId="0" xfId="0" applyFont="1" applyBorder="1"/>
    <xf numFmtId="12" fontId="11" fillId="0" borderId="1" xfId="0" applyNumberFormat="1" applyFont="1" applyBorder="1" applyAlignment="1">
      <alignment horizontal="center"/>
    </xf>
    <xf numFmtId="0" fontId="11" fillId="0" borderId="29" xfId="0" applyFont="1" applyBorder="1" applyAlignment="1">
      <alignment horizontal="center"/>
    </xf>
    <xf numFmtId="12" fontId="11" fillId="0" borderId="29" xfId="0" applyNumberFormat="1" applyFont="1" applyBorder="1" applyAlignment="1">
      <alignment horizontal="center"/>
    </xf>
    <xf numFmtId="0" fontId="11" fillId="0" borderId="74" xfId="0" applyFont="1" applyBorder="1" applyAlignment="1">
      <alignment horizontal="center"/>
    </xf>
    <xf numFmtId="0" fontId="53" fillId="0" borderId="74" xfId="0" applyFont="1" applyBorder="1" applyAlignment="1">
      <alignment horizontal="center"/>
    </xf>
    <xf numFmtId="0" fontId="0" fillId="0" borderId="121" xfId="0" applyBorder="1"/>
    <xf numFmtId="0" fontId="53" fillId="0" borderId="118" xfId="0" applyFont="1" applyBorder="1" applyAlignment="1">
      <alignment horizontal="center"/>
    </xf>
    <xf numFmtId="0" fontId="4" fillId="0" borderId="29" xfId="0" applyFont="1" applyBorder="1" applyAlignment="1" applyProtection="1">
      <alignment horizontal="center"/>
      <protection locked="0" hidden="1"/>
    </xf>
    <xf numFmtId="0" fontId="4" fillId="0" borderId="1" xfId="0" applyFont="1" applyBorder="1" applyAlignment="1" applyProtection="1">
      <alignment horizontal="center"/>
      <protection locked="0" hidden="1"/>
    </xf>
    <xf numFmtId="0" fontId="4" fillId="0" borderId="81" xfId="0" applyFont="1" applyBorder="1" applyAlignment="1" applyProtection="1">
      <alignment horizontal="center"/>
      <protection locked="0" hidden="1"/>
    </xf>
    <xf numFmtId="13" fontId="4" fillId="0" borderId="81" xfId="0" applyNumberFormat="1" applyFont="1" applyBorder="1" applyAlignment="1" applyProtection="1">
      <alignment horizontal="center"/>
      <protection locked="0" hidden="1"/>
    </xf>
    <xf numFmtId="12" fontId="12" fillId="0" borderId="51" xfId="0" applyNumberFormat="1" applyFont="1" applyBorder="1" applyAlignment="1" applyProtection="1">
      <alignment horizontal="center"/>
      <protection locked="0" hidden="1"/>
    </xf>
    <xf numFmtId="2" fontId="2" fillId="0" borderId="81" xfId="0" applyNumberFormat="1" applyFont="1" applyBorder="1" applyAlignment="1">
      <alignment horizontal="center"/>
    </xf>
    <xf numFmtId="2" fontId="2" fillId="0" borderId="122" xfId="0" applyNumberFormat="1" applyFont="1" applyBorder="1" applyAlignment="1">
      <alignment horizontal="center"/>
    </xf>
    <xf numFmtId="2" fontId="2" fillId="0" borderId="114" xfId="0" applyNumberFormat="1" applyFont="1" applyBorder="1" applyAlignment="1">
      <alignment horizontal="center"/>
    </xf>
    <xf numFmtId="0" fontId="45" fillId="0" borderId="0" xfId="0" applyFont="1" applyFill="1" applyBorder="1" applyAlignment="1">
      <alignment horizontal="center"/>
    </xf>
    <xf numFmtId="164" fontId="45" fillId="0" borderId="0" xfId="0" applyNumberFormat="1" applyFont="1" applyBorder="1" applyAlignment="1">
      <alignment horizontal="center"/>
    </xf>
    <xf numFmtId="0" fontId="0" fillId="0" borderId="123" xfId="0" applyBorder="1"/>
    <xf numFmtId="0" fontId="0" fillId="0" borderId="124" xfId="0" applyBorder="1"/>
    <xf numFmtId="0" fontId="0" fillId="0" borderId="125" xfId="0" applyBorder="1"/>
    <xf numFmtId="0" fontId="0" fillId="0" borderId="126" xfId="0" applyBorder="1"/>
    <xf numFmtId="0" fontId="0" fillId="0" borderId="127" xfId="0" applyBorder="1"/>
    <xf numFmtId="0" fontId="48" fillId="0" borderId="0" xfId="0" applyFont="1" applyBorder="1" applyAlignment="1">
      <alignment horizontal="center"/>
    </xf>
    <xf numFmtId="0" fontId="0" fillId="0" borderId="127" xfId="0" applyBorder="1" applyAlignment="1">
      <alignment horizontal="center"/>
    </xf>
    <xf numFmtId="2" fontId="5" fillId="0" borderId="128" xfId="0" applyNumberFormat="1" applyFont="1" applyBorder="1" applyAlignment="1">
      <alignment horizontal="center"/>
    </xf>
    <xf numFmtId="0" fontId="0" fillId="0" borderId="129" xfId="0" applyBorder="1"/>
    <xf numFmtId="0" fontId="0" fillId="0" borderId="130" xfId="0" applyBorder="1"/>
    <xf numFmtId="0" fontId="48" fillId="0" borderId="130" xfId="0" applyFont="1" applyBorder="1" applyAlignment="1">
      <alignment horizontal="center"/>
    </xf>
    <xf numFmtId="0" fontId="0" fillId="0" borderId="131" xfId="0" applyBorder="1"/>
    <xf numFmtId="0" fontId="2" fillId="0" borderId="127" xfId="0" applyFont="1" applyBorder="1" applyAlignment="1">
      <alignment horizontal="center"/>
    </xf>
    <xf numFmtId="12" fontId="12" fillId="0" borderId="128" xfId="0" applyNumberFormat="1" applyFont="1" applyBorder="1" applyAlignment="1" applyProtection="1">
      <alignment horizontal="center"/>
      <protection locked="0" hidden="1"/>
    </xf>
    <xf numFmtId="0" fontId="48" fillId="0" borderId="127" xfId="0" applyFont="1" applyBorder="1" applyAlignment="1">
      <alignment horizontal="center"/>
    </xf>
    <xf numFmtId="0" fontId="0" fillId="0" borderId="0" xfId="0" applyBorder="1" applyAlignment="1">
      <alignment horizontal="center"/>
    </xf>
    <xf numFmtId="2" fontId="5" fillId="0" borderId="132" xfId="0" applyNumberFormat="1" applyFont="1" applyBorder="1" applyAlignment="1">
      <alignment horizontal="center"/>
    </xf>
    <xf numFmtId="164" fontId="5" fillId="3" borderId="132" xfId="0" applyNumberFormat="1" applyFont="1" applyFill="1" applyBorder="1" applyAlignment="1">
      <alignment horizontal="center"/>
    </xf>
    <xf numFmtId="0" fontId="14" fillId="0" borderId="133" xfId="0" applyFont="1" applyBorder="1" applyAlignment="1">
      <alignment horizontal="left"/>
    </xf>
    <xf numFmtId="0" fontId="2" fillId="0" borderId="133" xfId="0" applyFont="1" applyBorder="1"/>
    <xf numFmtId="0" fontId="0" fillId="0" borderId="133" xfId="0" applyBorder="1"/>
    <xf numFmtId="166" fontId="0" fillId="0" borderId="51" xfId="0" applyNumberFormat="1" applyBorder="1" applyAlignment="1" applyProtection="1">
      <alignment horizontal="right"/>
      <protection locked="0" hidden="1"/>
    </xf>
    <xf numFmtId="2" fontId="0" fillId="0" borderId="51" xfId="0" applyNumberFormat="1" applyBorder="1" applyProtection="1">
      <protection locked="0" hidden="1"/>
    </xf>
    <xf numFmtId="166" fontId="0" fillId="0" borderId="51" xfId="0" applyNumberFormat="1" applyBorder="1" applyProtection="1">
      <protection locked="0" hidden="1"/>
    </xf>
    <xf numFmtId="0" fontId="2" fillId="0" borderId="134" xfId="0" applyFont="1" applyBorder="1"/>
    <xf numFmtId="0" fontId="0" fillId="0" borderId="0" xfId="0" applyBorder="1" applyAlignment="1">
      <alignment horizontal="right"/>
    </xf>
    <xf numFmtId="0" fontId="2" fillId="0" borderId="0" xfId="0" applyFont="1" applyBorder="1" applyAlignment="1">
      <alignment horizontal="right"/>
    </xf>
    <xf numFmtId="2" fontId="2" fillId="0" borderId="0" xfId="0" applyNumberFormat="1" applyFont="1" applyBorder="1"/>
    <xf numFmtId="1" fontId="2" fillId="0" borderId="0" xfId="0" applyNumberFormat="1" applyFont="1" applyBorder="1"/>
    <xf numFmtId="0" fontId="0" fillId="0" borderId="135" xfId="0" applyBorder="1"/>
    <xf numFmtId="0" fontId="0" fillId="0" borderId="134" xfId="0" applyBorder="1"/>
    <xf numFmtId="164" fontId="2" fillId="0" borderId="0" xfId="0" applyNumberFormat="1" applyFont="1" applyBorder="1"/>
    <xf numFmtId="0" fontId="14" fillId="0" borderId="0" xfId="0" applyFont="1" applyBorder="1"/>
    <xf numFmtId="0" fontId="0" fillId="0" borderId="133" xfId="0" applyBorder="1" applyAlignment="1">
      <alignment horizontal="right"/>
    </xf>
    <xf numFmtId="0" fontId="0" fillId="0" borderId="51" xfId="0" applyBorder="1" applyProtection="1">
      <protection locked="0" hidden="1"/>
    </xf>
    <xf numFmtId="0" fontId="4" fillId="0" borderId="133" xfId="0" applyFont="1" applyBorder="1" applyAlignment="1">
      <alignment horizontal="left"/>
    </xf>
    <xf numFmtId="0" fontId="4" fillId="0" borderId="133" xfId="0" applyFont="1" applyBorder="1"/>
    <xf numFmtId="0" fontId="4" fillId="0" borderId="134" xfId="0" applyFont="1" applyBorder="1"/>
    <xf numFmtId="0" fontId="4" fillId="0" borderId="135" xfId="0" applyFont="1" applyBorder="1"/>
    <xf numFmtId="0" fontId="56" fillId="0" borderId="135" xfId="0" applyFont="1" applyBorder="1"/>
    <xf numFmtId="164" fontId="2" fillId="3" borderId="0" xfId="0" applyNumberFormat="1" applyFont="1" applyFill="1" applyBorder="1" applyAlignment="1">
      <alignment horizontal="right"/>
    </xf>
    <xf numFmtId="166" fontId="0" fillId="0" borderId="128" xfId="0" applyNumberFormat="1" applyBorder="1" applyAlignment="1" applyProtection="1">
      <alignment horizontal="center"/>
      <protection locked="0" hidden="1"/>
    </xf>
    <xf numFmtId="166" fontId="0" fillId="0" borderId="51" xfId="0" applyNumberFormat="1" applyBorder="1" applyAlignment="1" applyProtection="1">
      <alignment horizontal="center"/>
      <protection locked="0" hidden="1"/>
    </xf>
    <xf numFmtId="0" fontId="45" fillId="0" borderId="0" xfId="0" applyFont="1" applyBorder="1" applyAlignment="1">
      <alignment horizontal="center"/>
    </xf>
    <xf numFmtId="0" fontId="0" fillId="0" borderId="0" xfId="0" applyProtection="1">
      <protection locked="0" hidden="1"/>
    </xf>
    <xf numFmtId="0" fontId="4" fillId="0" borderId="135" xfId="0" applyFont="1" applyBorder="1" applyAlignment="1">
      <alignment horizontal="left"/>
    </xf>
    <xf numFmtId="0" fontId="0" fillId="0" borderId="126" xfId="0" applyBorder="1" applyAlignment="1">
      <alignment horizontal="right"/>
    </xf>
    <xf numFmtId="0" fontId="2" fillId="0" borderId="126" xfId="0" applyFont="1" applyBorder="1" applyAlignment="1">
      <alignment horizontal="right"/>
    </xf>
    <xf numFmtId="0" fontId="0" fillId="0" borderId="126" xfId="0" applyBorder="1" applyAlignment="1">
      <alignment horizontal="left"/>
    </xf>
    <xf numFmtId="0" fontId="2" fillId="0" borderId="126" xfId="0" applyFont="1" applyBorder="1"/>
    <xf numFmtId="0" fontId="71" fillId="0" borderId="0" xfId="0" applyFont="1"/>
    <xf numFmtId="0" fontId="25" fillId="0" borderId="0" xfId="0" applyFont="1"/>
    <xf numFmtId="0" fontId="12" fillId="0" borderId="136" xfId="0" applyFont="1" applyBorder="1" applyAlignment="1">
      <alignment horizontal="center"/>
    </xf>
    <xf numFmtId="0" fontId="12" fillId="0" borderId="137" xfId="0" applyFont="1" applyBorder="1" applyAlignment="1">
      <alignment horizontal="center"/>
    </xf>
    <xf numFmtId="0" fontId="12" fillId="0" borderId="138" xfId="0" applyFont="1" applyBorder="1" applyAlignment="1">
      <alignment horizontal="center"/>
    </xf>
    <xf numFmtId="0" fontId="2" fillId="0" borderId="42" xfId="0" applyFont="1" applyBorder="1" applyAlignment="1">
      <alignment horizontal="center"/>
    </xf>
    <xf numFmtId="0" fontId="11" fillId="0" borderId="42" xfId="0" applyFont="1" applyBorder="1" applyAlignment="1">
      <alignment horizontal="center"/>
    </xf>
    <xf numFmtId="0" fontId="12" fillId="0" borderId="126" xfId="0" applyFont="1" applyBorder="1"/>
    <xf numFmtId="0" fontId="12" fillId="0" borderId="129" xfId="0" applyFont="1" applyBorder="1"/>
    <xf numFmtId="0" fontId="12" fillId="0" borderId="123" xfId="0" applyFont="1" applyBorder="1"/>
    <xf numFmtId="0" fontId="0" fillId="0" borderId="139" xfId="0" applyBorder="1"/>
    <xf numFmtId="0" fontId="0" fillId="0" borderId="28" xfId="0" applyBorder="1"/>
    <xf numFmtId="0" fontId="2" fillId="0" borderId="41" xfId="0" applyFont="1" applyBorder="1" applyAlignment="1">
      <alignment horizontal="right"/>
    </xf>
    <xf numFmtId="0" fontId="2" fillId="0" borderId="3" xfId="0" applyFont="1" applyBorder="1" applyAlignment="1">
      <alignment horizontal="right"/>
    </xf>
    <xf numFmtId="0" fontId="72" fillId="0" borderId="0" xfId="0" applyFont="1" applyBorder="1"/>
    <xf numFmtId="0" fontId="4" fillId="0" borderId="0" xfId="0" applyFont="1" applyBorder="1"/>
    <xf numFmtId="0" fontId="0" fillId="0" borderId="140" xfId="0" applyBorder="1"/>
    <xf numFmtId="0" fontId="0" fillId="0" borderId="10" xfId="0" applyBorder="1"/>
    <xf numFmtId="0" fontId="66" fillId="0" borderId="0" xfId="0" applyFont="1" applyBorder="1"/>
    <xf numFmtId="0" fontId="4" fillId="0" borderId="74" xfId="0" applyFont="1" applyBorder="1" applyAlignment="1">
      <alignment horizontal="center"/>
    </xf>
    <xf numFmtId="0" fontId="2" fillId="0" borderId="117" xfId="0" applyFont="1" applyBorder="1" applyAlignment="1">
      <alignment horizontal="center"/>
    </xf>
    <xf numFmtId="0" fontId="12" fillId="4" borderId="136" xfId="0" applyFont="1" applyFill="1" applyBorder="1" applyAlignment="1">
      <alignment horizontal="center"/>
    </xf>
    <xf numFmtId="0" fontId="2" fillId="4" borderId="135" xfId="0" applyFont="1" applyFill="1" applyBorder="1"/>
    <xf numFmtId="0" fontId="0" fillId="4" borderId="133" xfId="0" applyFill="1" applyBorder="1"/>
    <xf numFmtId="0" fontId="0" fillId="4" borderId="134" xfId="0" applyFill="1" applyBorder="1"/>
    <xf numFmtId="0" fontId="12" fillId="4" borderId="137" xfId="0" applyFont="1" applyFill="1" applyBorder="1" applyAlignment="1">
      <alignment horizontal="center"/>
    </xf>
    <xf numFmtId="0" fontId="12" fillId="4" borderId="138" xfId="0" applyFont="1" applyFill="1" applyBorder="1" applyAlignment="1">
      <alignment horizontal="center"/>
    </xf>
    <xf numFmtId="0" fontId="0" fillId="4" borderId="138" xfId="0" applyFill="1" applyBorder="1"/>
    <xf numFmtId="0" fontId="2" fillId="0" borderId="136" xfId="0" applyFont="1" applyBorder="1" applyAlignment="1">
      <alignment horizontal="center"/>
    </xf>
    <xf numFmtId="0" fontId="2" fillId="0" borderId="138" xfId="0" applyFont="1" applyBorder="1" applyAlignment="1">
      <alignment horizontal="center"/>
    </xf>
    <xf numFmtId="0" fontId="4" fillId="0" borderId="138" xfId="0" applyFont="1" applyBorder="1" applyAlignment="1">
      <alignment horizontal="center"/>
    </xf>
    <xf numFmtId="0" fontId="0" fillId="4" borderId="136" xfId="0" applyFill="1" applyBorder="1"/>
    <xf numFmtId="0" fontId="2" fillId="4" borderId="123" xfId="0" applyFont="1" applyFill="1" applyBorder="1"/>
    <xf numFmtId="0" fontId="0" fillId="4" borderId="124" xfId="0" applyFill="1" applyBorder="1"/>
    <xf numFmtId="0" fontId="0" fillId="4" borderId="125" xfId="0" applyFill="1" applyBorder="1"/>
    <xf numFmtId="0" fontId="0" fillId="4" borderId="0" xfId="0" applyFill="1"/>
    <xf numFmtId="0" fontId="2" fillId="4" borderId="129" xfId="0" applyFont="1" applyFill="1" applyBorder="1"/>
    <xf numFmtId="0" fontId="0" fillId="4" borderId="130" xfId="0" applyFill="1" applyBorder="1"/>
    <xf numFmtId="0" fontId="0" fillId="4" borderId="131" xfId="0" applyFill="1" applyBorder="1"/>
    <xf numFmtId="0" fontId="2" fillId="4" borderId="136" xfId="0" applyFont="1" applyFill="1" applyBorder="1" applyAlignment="1">
      <alignment horizontal="center"/>
    </xf>
    <xf numFmtId="0" fontId="2" fillId="4" borderId="138" xfId="0" applyFont="1" applyFill="1" applyBorder="1" applyAlignment="1">
      <alignment horizontal="center"/>
    </xf>
    <xf numFmtId="0" fontId="4" fillId="4" borderId="138" xfId="0" applyFont="1" applyFill="1" applyBorder="1" applyAlignment="1">
      <alignment horizontal="center"/>
    </xf>
    <xf numFmtId="0" fontId="0" fillId="4" borderId="1" xfId="0" applyFill="1" applyBorder="1"/>
    <xf numFmtId="14" fontId="2" fillId="0" borderId="1" xfId="0" applyNumberFormat="1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2" fillId="0" borderId="137" xfId="0" applyFont="1" applyBorder="1" applyAlignment="1">
      <alignment horizontal="center"/>
    </xf>
    <xf numFmtId="0" fontId="4" fillId="0" borderId="129" xfId="0" applyFont="1" applyBorder="1"/>
    <xf numFmtId="0" fontId="2" fillId="0" borderId="141" xfId="0" applyFont="1" applyBorder="1" applyAlignment="1">
      <alignment horizontal="center"/>
    </xf>
    <xf numFmtId="0" fontId="4" fillId="0" borderId="126" xfId="0" applyFont="1" applyBorder="1"/>
    <xf numFmtId="0" fontId="12" fillId="0" borderId="135" xfId="0" applyFont="1" applyBorder="1"/>
    <xf numFmtId="0" fontId="2" fillId="0" borderId="142" xfId="0" applyFont="1" applyBorder="1" applyAlignment="1">
      <alignment horizontal="center"/>
    </xf>
    <xf numFmtId="0" fontId="2" fillId="4" borderId="142" xfId="0" applyFont="1" applyFill="1" applyBorder="1" applyAlignment="1">
      <alignment horizontal="center"/>
    </xf>
    <xf numFmtId="0" fontId="2" fillId="0" borderId="143" xfId="0" applyFont="1" applyBorder="1" applyAlignment="1">
      <alignment horizontal="center"/>
    </xf>
    <xf numFmtId="0" fontId="2" fillId="0" borderId="144" xfId="0" applyFont="1" applyBorder="1" applyAlignment="1">
      <alignment horizontal="center"/>
    </xf>
    <xf numFmtId="20" fontId="2" fillId="0" borderId="40" xfId="0" applyNumberFormat="1" applyFont="1" applyBorder="1" applyAlignment="1">
      <alignment horizontal="center"/>
    </xf>
    <xf numFmtId="20" fontId="2" fillId="0" borderId="29" xfId="0" applyNumberFormat="1" applyFont="1" applyBorder="1" applyAlignment="1">
      <alignment horizontal="center"/>
    </xf>
    <xf numFmtId="20" fontId="2" fillId="0" borderId="1" xfId="0" applyNumberFormat="1" applyFont="1" applyBorder="1" applyAlignment="1">
      <alignment horizontal="center"/>
    </xf>
    <xf numFmtId="0" fontId="73" fillId="0" borderId="0" xfId="0" applyFont="1"/>
    <xf numFmtId="0" fontId="75" fillId="0" borderId="0" xfId="0" applyFont="1"/>
    <xf numFmtId="0" fontId="69" fillId="0" borderId="124" xfId="0" applyFont="1" applyBorder="1"/>
    <xf numFmtId="0" fontId="5" fillId="0" borderId="0" xfId="0" applyFont="1" applyBorder="1"/>
    <xf numFmtId="0" fontId="2" fillId="0" borderId="6" xfId="0" applyFont="1" applyBorder="1" applyAlignment="1">
      <alignment horizontal="center"/>
    </xf>
    <xf numFmtId="0" fontId="2" fillId="4" borderId="137" xfId="0" applyFont="1" applyFill="1" applyBorder="1" applyAlignment="1">
      <alignment horizontal="center"/>
    </xf>
    <xf numFmtId="0" fontId="2" fillId="0" borderId="145" xfId="0" applyFont="1" applyBorder="1" applyAlignment="1">
      <alignment horizontal="center"/>
    </xf>
    <xf numFmtId="0" fontId="2" fillId="0" borderId="40" xfId="0" applyFont="1" applyBorder="1" applyAlignment="1">
      <alignment horizontal="center"/>
    </xf>
    <xf numFmtId="0" fontId="2" fillId="0" borderId="146" xfId="0" applyFont="1" applyBorder="1" applyAlignment="1">
      <alignment horizontal="center"/>
    </xf>
    <xf numFmtId="0" fontId="2" fillId="0" borderId="147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148" xfId="0" applyFont="1" applyBorder="1" applyAlignment="1">
      <alignment horizontal="center"/>
    </xf>
    <xf numFmtId="0" fontId="2" fillId="0" borderId="36" xfId="0" applyFont="1" applyBorder="1" applyAlignment="1">
      <alignment horizontal="center"/>
    </xf>
    <xf numFmtId="0" fontId="2" fillId="0" borderId="149" xfId="0" applyFont="1" applyBorder="1" applyAlignment="1">
      <alignment horizontal="center"/>
    </xf>
    <xf numFmtId="165" fontId="2" fillId="0" borderId="5" xfId="0" applyNumberFormat="1" applyFont="1" applyBorder="1" applyAlignment="1">
      <alignment horizontal="center"/>
    </xf>
    <xf numFmtId="165" fontId="2" fillId="0" borderId="150" xfId="0" applyNumberFormat="1" applyFont="1" applyBorder="1" applyAlignment="1">
      <alignment horizontal="center"/>
    </xf>
    <xf numFmtId="0" fontId="2" fillId="8" borderId="40" xfId="0" applyFont="1" applyFill="1" applyBorder="1" applyAlignment="1">
      <alignment horizontal="center"/>
    </xf>
    <xf numFmtId="0" fontId="2" fillId="8" borderId="146" xfId="0" applyFont="1" applyFill="1" applyBorder="1" applyAlignment="1">
      <alignment horizontal="center"/>
    </xf>
    <xf numFmtId="0" fontId="2" fillId="8" borderId="5" xfId="0" applyFont="1" applyFill="1" applyBorder="1" applyAlignment="1">
      <alignment horizontal="center"/>
    </xf>
    <xf numFmtId="0" fontId="2" fillId="8" borderId="150" xfId="0" applyFont="1" applyFill="1" applyBorder="1" applyAlignment="1">
      <alignment horizontal="center"/>
    </xf>
    <xf numFmtId="0" fontId="2" fillId="8" borderId="36" xfId="0" applyFont="1" applyFill="1" applyBorder="1" applyAlignment="1">
      <alignment horizontal="center"/>
    </xf>
    <xf numFmtId="0" fontId="2" fillId="8" borderId="149" xfId="0" applyFont="1" applyFill="1" applyBorder="1" applyAlignment="1">
      <alignment horizontal="center"/>
    </xf>
    <xf numFmtId="0" fontId="2" fillId="8" borderId="151" xfId="0" applyFont="1" applyFill="1" applyBorder="1" applyAlignment="1">
      <alignment horizontal="center"/>
    </xf>
    <xf numFmtId="0" fontId="2" fillId="8" borderId="76" xfId="0" applyFont="1" applyFill="1" applyBorder="1" applyAlignment="1">
      <alignment horizontal="center"/>
    </xf>
    <xf numFmtId="1" fontId="11" fillId="0" borderId="42" xfId="0" applyNumberFormat="1" applyFont="1" applyBorder="1" applyAlignment="1">
      <alignment horizontal="center"/>
    </xf>
    <xf numFmtId="1" fontId="11" fillId="0" borderId="1" xfId="0" applyNumberFormat="1" applyFont="1" applyBorder="1" applyAlignment="1">
      <alignment horizontal="center"/>
    </xf>
    <xf numFmtId="1" fontId="2" fillId="0" borderId="42" xfId="0" applyNumberFormat="1" applyFont="1" applyBorder="1" applyAlignment="1">
      <alignment horizontal="center"/>
    </xf>
    <xf numFmtId="1" fontId="2" fillId="0" borderId="1" xfId="0" applyNumberFormat="1" applyFont="1" applyBorder="1" applyAlignment="1">
      <alignment horizontal="center"/>
    </xf>
    <xf numFmtId="1" fontId="2" fillId="0" borderId="41" xfId="0" applyNumberFormat="1" applyFont="1" applyBorder="1" applyAlignment="1">
      <alignment horizontal="right"/>
    </xf>
    <xf numFmtId="1" fontId="2" fillId="0" borderId="3" xfId="0" applyNumberFormat="1" applyFont="1" applyBorder="1" applyAlignment="1">
      <alignment horizontal="right"/>
    </xf>
    <xf numFmtId="0" fontId="2" fillId="0" borderId="41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48" fillId="0" borderId="141" xfId="0" applyFont="1" applyBorder="1" applyAlignment="1">
      <alignment horizontal="center"/>
    </xf>
    <xf numFmtId="1" fontId="2" fillId="0" borderId="139" xfId="0" applyNumberFormat="1" applyFont="1" applyBorder="1" applyAlignment="1">
      <alignment horizontal="center"/>
    </xf>
    <xf numFmtId="1" fontId="2" fillId="0" borderId="28" xfId="0" applyNumberFormat="1" applyFont="1" applyBorder="1" applyAlignment="1">
      <alignment horizontal="center"/>
    </xf>
    <xf numFmtId="0" fontId="70" fillId="0" borderId="126" xfId="0" applyFont="1" applyBorder="1" applyAlignment="1">
      <alignment horizontal="left"/>
    </xf>
    <xf numFmtId="0" fontId="70" fillId="0" borderId="123" xfId="0" applyFont="1" applyBorder="1" applyAlignment="1">
      <alignment horizontal="left"/>
    </xf>
    <xf numFmtId="0" fontId="2" fillId="0" borderId="150" xfId="0" applyFont="1" applyBorder="1" applyAlignment="1">
      <alignment horizontal="center"/>
    </xf>
    <xf numFmtId="0" fontId="0" fillId="0" borderId="152" xfId="0" applyBorder="1"/>
    <xf numFmtId="0" fontId="0" fillId="0" borderId="153" xfId="0" applyBorder="1"/>
    <xf numFmtId="0" fontId="0" fillId="4" borderId="123" xfId="0" applyFill="1" applyBorder="1"/>
    <xf numFmtId="0" fontId="12" fillId="4" borderId="126" xfId="0" applyFont="1" applyFill="1" applyBorder="1" applyAlignment="1">
      <alignment horizontal="center"/>
    </xf>
    <xf numFmtId="0" fontId="24" fillId="0" borderId="124" xfId="0" applyFont="1" applyBorder="1"/>
    <xf numFmtId="0" fontId="24" fillId="0" borderId="0" xfId="0" applyFont="1" applyBorder="1"/>
    <xf numFmtId="0" fontId="10" fillId="0" borderId="141" xfId="0" applyFont="1" applyBorder="1" applyAlignment="1">
      <alignment horizontal="center"/>
    </xf>
    <xf numFmtId="0" fontId="2" fillId="0" borderId="154" xfId="0" applyFont="1" applyBorder="1" applyAlignment="1">
      <alignment horizontal="center"/>
    </xf>
    <xf numFmtId="0" fontId="0" fillId="0" borderId="127" xfId="0" applyBorder="1" applyAlignment="1">
      <alignment horizontal="left"/>
    </xf>
    <xf numFmtId="13" fontId="12" fillId="0" borderId="51" xfId="0" applyNumberFormat="1" applyFont="1" applyBorder="1" applyAlignment="1" applyProtection="1">
      <alignment horizontal="center"/>
      <protection locked="0" hidden="1"/>
    </xf>
    <xf numFmtId="13" fontId="4" fillId="0" borderId="1" xfId="0" applyNumberFormat="1" applyFont="1" applyBorder="1" applyAlignment="1" applyProtection="1">
      <alignment horizontal="center"/>
      <protection locked="0" hidden="1"/>
    </xf>
    <xf numFmtId="13" fontId="4" fillId="0" borderId="29" xfId="0" applyNumberFormat="1" applyFont="1" applyBorder="1" applyAlignment="1" applyProtection="1">
      <alignment horizontal="center"/>
      <protection locked="0" hidden="1"/>
    </xf>
    <xf numFmtId="0" fontId="0" fillId="0" borderId="136" xfId="0" applyBorder="1"/>
    <xf numFmtId="0" fontId="0" fillId="0" borderId="137" xfId="0" applyBorder="1"/>
    <xf numFmtId="0" fontId="0" fillId="0" borderId="137" xfId="0" applyBorder="1" applyAlignment="1">
      <alignment horizontal="center"/>
    </xf>
    <xf numFmtId="0" fontId="0" fillId="0" borderId="136" xfId="0" applyBorder="1" applyAlignment="1">
      <alignment horizontal="center"/>
    </xf>
    <xf numFmtId="0" fontId="7" fillId="0" borderId="0" xfId="0" applyFont="1"/>
    <xf numFmtId="0" fontId="4" fillId="0" borderId="42" xfId="0" applyFont="1" applyBorder="1" applyAlignment="1">
      <alignment horizontal="center"/>
    </xf>
    <xf numFmtId="164" fontId="2" fillId="0" borderId="42" xfId="0" applyNumberFormat="1" applyFont="1" applyBorder="1" applyAlignment="1">
      <alignment horizontal="center"/>
    </xf>
    <xf numFmtId="0" fontId="4" fillId="0" borderId="137" xfId="0" applyFont="1" applyBorder="1" applyAlignment="1">
      <alignment horizontal="center"/>
    </xf>
    <xf numFmtId="0" fontId="2" fillId="7" borderId="1" xfId="0" applyFont="1" applyFill="1" applyBorder="1" applyAlignment="1">
      <alignment horizontal="center"/>
    </xf>
    <xf numFmtId="164" fontId="2" fillId="7" borderId="1" xfId="0" applyNumberFormat="1" applyFont="1" applyFill="1" applyBorder="1" applyAlignment="1">
      <alignment horizontal="center"/>
    </xf>
    <xf numFmtId="0" fontId="4" fillId="0" borderId="141" xfId="0" applyFont="1" applyBorder="1" applyAlignment="1" applyProtection="1">
      <alignment horizontal="center"/>
      <protection locked="0" hidden="1"/>
    </xf>
    <xf numFmtId="0" fontId="2" fillId="4" borderId="141" xfId="0" applyFont="1" applyFill="1" applyBorder="1" applyAlignment="1">
      <alignment horizontal="center"/>
    </xf>
    <xf numFmtId="0" fontId="11" fillId="0" borderId="137" xfId="0" quotePrefix="1" applyFont="1" applyBorder="1" applyAlignment="1">
      <alignment horizontal="center"/>
    </xf>
    <xf numFmtId="3" fontId="11" fillId="0" borderId="137" xfId="0" quotePrefix="1" applyNumberFormat="1" applyFont="1" applyBorder="1" applyAlignment="1">
      <alignment horizontal="center"/>
    </xf>
    <xf numFmtId="1" fontId="11" fillId="0" borderId="137" xfId="0" quotePrefix="1" applyNumberFormat="1" applyFont="1" applyBorder="1" applyAlignment="1">
      <alignment horizontal="center"/>
    </xf>
    <xf numFmtId="0" fontId="11" fillId="0" borderId="155" xfId="0" applyFont="1" applyBorder="1" applyAlignment="1">
      <alignment horizontal="center"/>
    </xf>
    <xf numFmtId="1" fontId="11" fillId="0" borderId="155" xfId="0" applyNumberFormat="1" applyFont="1" applyBorder="1" applyAlignment="1">
      <alignment horizontal="center"/>
    </xf>
    <xf numFmtId="0" fontId="11" fillId="0" borderId="0" xfId="0" applyFont="1" applyAlignment="1">
      <alignment horizontal="right"/>
    </xf>
    <xf numFmtId="2" fontId="4" fillId="0" borderId="51" xfId="0" applyNumberFormat="1" applyFont="1" applyBorder="1" applyAlignment="1">
      <alignment horizontal="center"/>
    </xf>
    <xf numFmtId="0" fontId="4" fillId="0" borderId="51" xfId="0" applyFont="1" applyBorder="1" applyAlignment="1">
      <alignment horizontal="center"/>
    </xf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2" fontId="4" fillId="0" borderId="154" xfId="0" applyNumberFormat="1" applyFont="1" applyBorder="1" applyAlignment="1">
      <alignment horizontal="center"/>
    </xf>
    <xf numFmtId="2" fontId="4" fillId="0" borderId="42" xfId="0" applyNumberFormat="1" applyFont="1" applyBorder="1" applyAlignment="1">
      <alignment horizontal="center"/>
    </xf>
    <xf numFmtId="2" fontId="4" fillId="0" borderId="144" xfId="0" applyNumberFormat="1" applyFont="1" applyBorder="1" applyAlignment="1">
      <alignment horizontal="center"/>
    </xf>
    <xf numFmtId="2" fontId="4" fillId="0" borderId="1" xfId="0" applyNumberFormat="1" applyFont="1" applyBorder="1" applyAlignment="1">
      <alignment horizontal="center"/>
    </xf>
    <xf numFmtId="2" fontId="4" fillId="0" borderId="156" xfId="0" applyNumberFormat="1" applyFont="1" applyBorder="1" applyAlignment="1">
      <alignment horizontal="center"/>
    </xf>
    <xf numFmtId="0" fontId="4" fillId="0" borderId="37" xfId="0" applyFont="1" applyBorder="1" applyAlignment="1">
      <alignment horizontal="center"/>
    </xf>
    <xf numFmtId="2" fontId="4" fillId="0" borderId="37" xfId="0" applyNumberFormat="1" applyFont="1" applyBorder="1" applyAlignment="1">
      <alignment horizontal="center"/>
    </xf>
    <xf numFmtId="2" fontId="4" fillId="0" borderId="139" xfId="0" applyNumberFormat="1" applyFont="1" applyBorder="1" applyAlignment="1">
      <alignment horizontal="center"/>
    </xf>
    <xf numFmtId="2" fontId="4" fillId="0" borderId="28" xfId="0" applyNumberFormat="1" applyFont="1" applyBorder="1" applyAlignment="1">
      <alignment horizontal="center"/>
    </xf>
    <xf numFmtId="2" fontId="4" fillId="0" borderId="43" xfId="0" applyNumberFormat="1" applyFont="1" applyBorder="1" applyAlignment="1">
      <alignment horizontal="center"/>
    </xf>
    <xf numFmtId="1" fontId="11" fillId="0" borderId="123" xfId="0" applyNumberFormat="1" applyFont="1" applyBorder="1" applyAlignment="1">
      <alignment horizontal="center"/>
    </xf>
    <xf numFmtId="1" fontId="11" fillId="0" borderId="143" xfId="0" applyNumberFormat="1" applyFont="1" applyBorder="1" applyAlignment="1">
      <alignment horizontal="center"/>
    </xf>
    <xf numFmtId="1" fontId="11" fillId="0" borderId="157" xfId="0" applyNumberFormat="1" applyFont="1" applyBorder="1" applyAlignment="1">
      <alignment horizontal="center"/>
    </xf>
    <xf numFmtId="1" fontId="11" fillId="0" borderId="28" xfId="0" applyNumberFormat="1" applyFont="1" applyBorder="1" applyAlignment="1">
      <alignment horizontal="center"/>
    </xf>
    <xf numFmtId="1" fontId="11" fillId="0" borderId="158" xfId="0" applyNumberFormat="1" applyFont="1" applyBorder="1" applyAlignment="1">
      <alignment horizontal="center"/>
    </xf>
    <xf numFmtId="1" fontId="11" fillId="0" borderId="37" xfId="0" applyNumberFormat="1" applyFont="1" applyBorder="1" applyAlignment="1">
      <alignment horizontal="center"/>
    </xf>
    <xf numFmtId="1" fontId="11" fillId="0" borderId="31" xfId="0" applyNumberFormat="1" applyFont="1" applyBorder="1" applyAlignment="1">
      <alignment horizontal="center"/>
    </xf>
    <xf numFmtId="1" fontId="0" fillId="0" borderId="0" xfId="0" applyNumberFormat="1"/>
    <xf numFmtId="0" fontId="2" fillId="0" borderId="1" xfId="0" applyFont="1" applyFill="1" applyBorder="1" applyAlignment="1">
      <alignment horizontal="center"/>
    </xf>
    <xf numFmtId="0" fontId="2" fillId="0" borderId="157" xfId="0" applyFont="1" applyBorder="1" applyAlignment="1">
      <alignment horizontal="center"/>
    </xf>
    <xf numFmtId="0" fontId="56" fillId="4" borderId="1" xfId="0" applyFont="1" applyFill="1" applyBorder="1"/>
    <xf numFmtId="0" fontId="4" fillId="0" borderId="41" xfId="0" applyFont="1" applyBorder="1" applyAlignment="1">
      <alignment horizontal="center"/>
    </xf>
    <xf numFmtId="0" fontId="7" fillId="4" borderId="129" xfId="0" applyFont="1" applyFill="1" applyBorder="1" applyAlignment="1">
      <alignment horizontal="center"/>
    </xf>
    <xf numFmtId="0" fontId="7" fillId="0" borderId="138" xfId="0" applyFont="1" applyBorder="1" applyAlignment="1">
      <alignment horizontal="center"/>
    </xf>
    <xf numFmtId="0" fontId="4" fillId="4" borderId="141" xfId="0" applyFont="1" applyFill="1" applyBorder="1" applyAlignment="1">
      <alignment horizontal="center"/>
    </xf>
    <xf numFmtId="0" fontId="4" fillId="4" borderId="42" xfId="0" applyFont="1" applyFill="1" applyBorder="1" applyAlignment="1">
      <alignment horizontal="center"/>
    </xf>
    <xf numFmtId="0" fontId="4" fillId="4" borderId="1" xfId="0" applyFont="1" applyFill="1" applyBorder="1" applyAlignment="1">
      <alignment horizontal="center"/>
    </xf>
    <xf numFmtId="0" fontId="4" fillId="4" borderId="6" xfId="0" applyFont="1" applyFill="1" applyBorder="1" applyAlignment="1">
      <alignment horizontal="center"/>
    </xf>
    <xf numFmtId="0" fontId="7" fillId="4" borderId="141" xfId="0" applyFont="1" applyFill="1" applyBorder="1" applyAlignment="1">
      <alignment horizontal="center"/>
    </xf>
    <xf numFmtId="0" fontId="0" fillId="0" borderId="6" xfId="0" applyBorder="1"/>
    <xf numFmtId="0" fontId="0" fillId="0" borderId="29" xfId="0" applyBorder="1"/>
    <xf numFmtId="0" fontId="0" fillId="0" borderId="159" xfId="0" applyBorder="1"/>
    <xf numFmtId="0" fontId="0" fillId="0" borderId="51" xfId="0" applyBorder="1"/>
    <xf numFmtId="0" fontId="4" fillId="0" borderId="57" xfId="0" applyFont="1" applyBorder="1"/>
    <xf numFmtId="0" fontId="4" fillId="0" borderId="160" xfId="0" applyFont="1" applyBorder="1"/>
    <xf numFmtId="166" fontId="2" fillId="0" borderId="51" xfId="0" applyNumberFormat="1" applyFont="1" applyBorder="1" applyAlignment="1">
      <alignment horizontal="center"/>
    </xf>
    <xf numFmtId="13" fontId="5" fillId="0" borderId="0" xfId="0" applyNumberFormat="1" applyFont="1" applyAlignment="1">
      <alignment horizontal="right"/>
    </xf>
    <xf numFmtId="164" fontId="5" fillId="0" borderId="0" xfId="0" applyNumberFormat="1" applyFont="1" applyAlignment="1">
      <alignment horizontal="center"/>
    </xf>
    <xf numFmtId="0" fontId="77" fillId="0" borderId="0" xfId="0" applyFont="1"/>
    <xf numFmtId="0" fontId="56" fillId="0" borderId="0" xfId="0" applyFont="1"/>
    <xf numFmtId="0" fontId="4" fillId="0" borderId="161" xfId="0" applyFont="1" applyBorder="1" applyAlignment="1" applyProtection="1">
      <alignment horizontal="center"/>
      <protection locked="0" hidden="1"/>
    </xf>
    <xf numFmtId="0" fontId="11" fillId="0" borderId="155" xfId="0" applyFont="1" applyBorder="1" applyAlignment="1" applyProtection="1">
      <alignment horizontal="center"/>
      <protection locked="0" hidden="1"/>
    </xf>
    <xf numFmtId="0" fontId="11" fillId="0" borderId="162" xfId="0" applyFont="1" applyBorder="1" applyAlignment="1" applyProtection="1">
      <alignment horizontal="center"/>
      <protection locked="0" hidden="1"/>
    </xf>
    <xf numFmtId="0" fontId="2" fillId="0" borderId="0" xfId="0" applyFont="1" applyAlignment="1">
      <alignment horizontal="left"/>
    </xf>
    <xf numFmtId="0" fontId="2" fillId="0" borderId="83" xfId="0" applyFont="1" applyBorder="1" applyAlignment="1">
      <alignment horizontal="center"/>
    </xf>
    <xf numFmtId="0" fontId="2" fillId="0" borderId="114" xfId="0" applyFont="1" applyBorder="1" applyAlignment="1">
      <alignment horizontal="center"/>
    </xf>
    <xf numFmtId="0" fontId="14" fillId="0" borderId="0" xfId="0" applyFont="1"/>
    <xf numFmtId="0" fontId="4" fillId="0" borderId="114" xfId="0" applyFont="1" applyBorder="1" applyAlignment="1">
      <alignment horizontal="center"/>
    </xf>
    <xf numFmtId="0" fontId="2" fillId="0" borderId="86" xfId="0" applyFont="1" applyBorder="1" applyAlignment="1" applyProtection="1">
      <alignment horizontal="center"/>
      <protection locked="0"/>
    </xf>
    <xf numFmtId="0" fontId="2" fillId="0" borderId="94" xfId="0" applyFont="1" applyBorder="1" applyAlignment="1" applyProtection="1">
      <alignment horizontal="center"/>
      <protection locked="0"/>
    </xf>
    <xf numFmtId="2" fontId="2" fillId="0" borderId="86" xfId="0" applyNumberFormat="1" applyFont="1" applyBorder="1" applyAlignment="1">
      <alignment horizontal="center"/>
    </xf>
    <xf numFmtId="2" fontId="4" fillId="0" borderId="82" xfId="0" applyNumberFormat="1" applyFont="1" applyBorder="1" applyAlignment="1">
      <alignment horizontal="center"/>
    </xf>
    <xf numFmtId="2" fontId="4" fillId="0" borderId="94" xfId="0" applyNumberFormat="1" applyFont="1" applyBorder="1" applyAlignment="1">
      <alignment horizontal="center"/>
    </xf>
    <xf numFmtId="2" fontId="4" fillId="4" borderId="161" xfId="0" applyNumberFormat="1" applyFont="1" applyFill="1" applyBorder="1" applyAlignment="1" applyProtection="1">
      <alignment horizontal="center"/>
    </xf>
    <xf numFmtId="2" fontId="11" fillId="4" borderId="162" xfId="0" applyNumberFormat="1" applyFont="1" applyFill="1" applyBorder="1" applyAlignment="1" applyProtection="1">
      <alignment horizontal="center"/>
    </xf>
    <xf numFmtId="22" fontId="0" fillId="0" borderId="0" xfId="0" applyNumberFormat="1"/>
    <xf numFmtId="16" fontId="11" fillId="0" borderId="0" xfId="0" applyNumberFormat="1" applyFont="1"/>
    <xf numFmtId="0" fontId="74" fillId="0" borderId="0" xfId="0" applyFont="1"/>
    <xf numFmtId="0" fontId="0" fillId="0" borderId="163" xfId="0" applyBorder="1"/>
    <xf numFmtId="0" fontId="0" fillId="0" borderId="164" xfId="0" applyBorder="1"/>
    <xf numFmtId="0" fontId="0" fillId="0" borderId="165" xfId="0" applyBorder="1"/>
    <xf numFmtId="0" fontId="0" fillId="0" borderId="166" xfId="0" applyBorder="1"/>
    <xf numFmtId="0" fontId="0" fillId="0" borderId="167" xfId="0" applyBorder="1"/>
    <xf numFmtId="0" fontId="4" fillId="0" borderId="157" xfId="0" applyFont="1" applyBorder="1"/>
    <xf numFmtId="0" fontId="4" fillId="0" borderId="168" xfId="0" applyFont="1" applyBorder="1"/>
    <xf numFmtId="0" fontId="78" fillId="0" borderId="0" xfId="0" applyFont="1"/>
    <xf numFmtId="0" fontId="4" fillId="0" borderId="169" xfId="0" applyFont="1" applyBorder="1" applyAlignment="1">
      <alignment horizontal="center"/>
    </xf>
    <xf numFmtId="0" fontId="2" fillId="0" borderId="170" xfId="0" applyFont="1" applyBorder="1"/>
    <xf numFmtId="0" fontId="2" fillId="0" borderId="171" xfId="0" applyFont="1" applyBorder="1"/>
    <xf numFmtId="0" fontId="4" fillId="0" borderId="170" xfId="0" applyFont="1" applyBorder="1" applyAlignment="1">
      <alignment horizontal="center"/>
    </xf>
    <xf numFmtId="0" fontId="4" fillId="0" borderId="171" xfId="0" applyFont="1" applyBorder="1" applyAlignment="1">
      <alignment horizontal="center"/>
    </xf>
    <xf numFmtId="2" fontId="2" fillId="0" borderId="169" xfId="0" applyNumberFormat="1" applyFont="1" applyBorder="1" applyAlignment="1">
      <alignment horizontal="center"/>
    </xf>
    <xf numFmtId="2" fontId="2" fillId="0" borderId="170" xfId="0" applyNumberFormat="1" applyFont="1" applyBorder="1" applyAlignment="1">
      <alignment horizontal="center"/>
    </xf>
    <xf numFmtId="2" fontId="2" fillId="0" borderId="171" xfId="0" applyNumberFormat="1" applyFont="1" applyBorder="1" applyAlignment="1">
      <alignment horizontal="center"/>
    </xf>
    <xf numFmtId="0" fontId="2" fillId="0" borderId="169" xfId="0" applyFont="1" applyBorder="1"/>
    <xf numFmtId="0" fontId="58" fillId="7" borderId="123" xfId="0" applyFont="1" applyFill="1" applyBorder="1"/>
    <xf numFmtId="0" fontId="0" fillId="7" borderId="124" xfId="0" applyFill="1" applyBorder="1"/>
    <xf numFmtId="0" fontId="0" fillId="7" borderId="125" xfId="0" applyFill="1" applyBorder="1"/>
    <xf numFmtId="0" fontId="58" fillId="7" borderId="136" xfId="0" applyFont="1" applyFill="1" applyBorder="1" applyAlignment="1">
      <alignment horizontal="center"/>
    </xf>
    <xf numFmtId="0" fontId="58" fillId="7" borderId="129" xfId="0" applyFont="1" applyFill="1" applyBorder="1"/>
    <xf numFmtId="0" fontId="0" fillId="7" borderId="130" xfId="0" applyFill="1" applyBorder="1"/>
    <xf numFmtId="0" fontId="0" fillId="7" borderId="131" xfId="0" applyFill="1" applyBorder="1"/>
    <xf numFmtId="0" fontId="58" fillId="7" borderId="138" xfId="0" applyFont="1" applyFill="1" applyBorder="1" applyAlignment="1">
      <alignment horizontal="center"/>
    </xf>
    <xf numFmtId="0" fontId="58" fillId="7" borderId="137" xfId="0" applyFont="1" applyFill="1" applyBorder="1" applyAlignment="1">
      <alignment horizontal="center"/>
    </xf>
    <xf numFmtId="0" fontId="0" fillId="7" borderId="137" xfId="0" applyFill="1" applyBorder="1"/>
    <xf numFmtId="0" fontId="4" fillId="7" borderId="138" xfId="0" applyFont="1" applyFill="1" applyBorder="1" applyAlignment="1">
      <alignment horizontal="center"/>
    </xf>
    <xf numFmtId="0" fontId="56" fillId="0" borderId="0" xfId="0" applyFont="1" applyAlignment="1">
      <alignment horizontal="center"/>
    </xf>
    <xf numFmtId="166" fontId="2" fillId="0" borderId="86" xfId="0" applyNumberFormat="1" applyFont="1" applyBorder="1" applyAlignment="1">
      <alignment horizontal="center"/>
    </xf>
    <xf numFmtId="166" fontId="4" fillId="0" borderId="82" xfId="0" applyNumberFormat="1" applyFont="1" applyBorder="1" applyAlignment="1">
      <alignment horizontal="center"/>
    </xf>
    <xf numFmtId="166" fontId="4" fillId="0" borderId="94" xfId="0" applyNumberFormat="1" applyFont="1" applyBorder="1" applyAlignment="1">
      <alignment horizontal="center"/>
    </xf>
    <xf numFmtId="0" fontId="75" fillId="0" borderId="141" xfId="0" applyFont="1" applyBorder="1" applyAlignment="1" applyProtection="1">
      <alignment horizontal="center"/>
      <protection locked="0" hidden="1"/>
    </xf>
    <xf numFmtId="164" fontId="4" fillId="7" borderId="161" xfId="0" applyNumberFormat="1" applyFont="1" applyFill="1" applyBorder="1" applyAlignment="1">
      <alignment horizontal="center"/>
    </xf>
    <xf numFmtId="1" fontId="10" fillId="0" borderId="51" xfId="0" applyNumberFormat="1" applyFont="1" applyBorder="1" applyAlignment="1" applyProtection="1">
      <alignment horizontal="center"/>
      <protection locked="0"/>
    </xf>
    <xf numFmtId="1" fontId="5" fillId="0" borderId="51" xfId="0" applyNumberFormat="1" applyFont="1" applyBorder="1" applyAlignment="1" applyProtection="1">
      <alignment horizontal="center"/>
    </xf>
    <xf numFmtId="2" fontId="5" fillId="0" borderId="51" xfId="0" applyNumberFormat="1" applyFont="1" applyBorder="1" applyAlignment="1" applyProtection="1">
      <alignment horizontal="center"/>
    </xf>
    <xf numFmtId="1" fontId="5" fillId="0" borderId="86" xfId="0" applyNumberFormat="1" applyFont="1" applyBorder="1" applyAlignment="1" applyProtection="1">
      <alignment horizontal="center"/>
    </xf>
    <xf numFmtId="1" fontId="5" fillId="0" borderId="94" xfId="0" applyNumberFormat="1" applyFont="1" applyBorder="1" applyAlignment="1" applyProtection="1">
      <alignment horizontal="center"/>
    </xf>
    <xf numFmtId="2" fontId="12" fillId="0" borderId="94" xfId="0" applyNumberFormat="1" applyFont="1" applyBorder="1" applyAlignment="1" applyProtection="1">
      <alignment horizontal="center"/>
    </xf>
    <xf numFmtId="0" fontId="0" fillId="3" borderId="22" xfId="0" applyFill="1" applyBorder="1"/>
    <xf numFmtId="0" fontId="0" fillId="3" borderId="48" xfId="0" applyFill="1" applyBorder="1"/>
    <xf numFmtId="0" fontId="0" fillId="3" borderId="24" xfId="0" applyFill="1" applyBorder="1"/>
    <xf numFmtId="0" fontId="0" fillId="4" borderId="64" xfId="0" applyFill="1" applyBorder="1"/>
    <xf numFmtId="0" fontId="0" fillId="0" borderId="172" xfId="0" applyBorder="1"/>
    <xf numFmtId="0" fontId="0" fillId="0" borderId="173" xfId="0" applyBorder="1"/>
    <xf numFmtId="0" fontId="0" fillId="0" borderId="174" xfId="0" applyBorder="1"/>
    <xf numFmtId="0" fontId="2" fillId="0" borderId="174" xfId="0" applyFont="1" applyBorder="1" applyAlignment="1">
      <alignment horizontal="center"/>
    </xf>
    <xf numFmtId="0" fontId="0" fillId="0" borderId="174" xfId="0" applyBorder="1" applyAlignment="1">
      <alignment horizontal="center"/>
    </xf>
    <xf numFmtId="166" fontId="2" fillId="0" borderId="174" xfId="0" applyNumberFormat="1" applyFont="1" applyBorder="1" applyAlignment="1">
      <alignment horizontal="center"/>
    </xf>
    <xf numFmtId="0" fontId="0" fillId="4" borderId="71" xfId="0" applyFill="1" applyBorder="1"/>
    <xf numFmtId="0" fontId="0" fillId="0" borderId="175" xfId="0" applyBorder="1"/>
    <xf numFmtId="0" fontId="0" fillId="0" borderId="176" xfId="0" applyBorder="1"/>
    <xf numFmtId="0" fontId="0" fillId="0" borderId="177" xfId="0" applyBorder="1"/>
    <xf numFmtId="0" fontId="2" fillId="0" borderId="177" xfId="0" applyFont="1" applyBorder="1" applyAlignment="1">
      <alignment horizontal="center"/>
    </xf>
    <xf numFmtId="0" fontId="0" fillId="0" borderId="177" xfId="0" applyBorder="1" applyAlignment="1">
      <alignment horizontal="center"/>
    </xf>
    <xf numFmtId="166" fontId="2" fillId="0" borderId="177" xfId="0" applyNumberFormat="1" applyFont="1" applyBorder="1" applyAlignment="1">
      <alignment horizontal="center"/>
    </xf>
    <xf numFmtId="0" fontId="2" fillId="0" borderId="175" xfId="0" applyFont="1" applyBorder="1" applyAlignment="1">
      <alignment horizontal="center"/>
    </xf>
    <xf numFmtId="0" fontId="2" fillId="0" borderId="176" xfId="0" applyFont="1" applyBorder="1" applyAlignment="1">
      <alignment horizontal="center"/>
    </xf>
    <xf numFmtId="2" fontId="0" fillId="0" borderId="177" xfId="0" applyNumberFormat="1" applyBorder="1" applyAlignment="1">
      <alignment horizontal="center"/>
    </xf>
    <xf numFmtId="166" fontId="0" fillId="0" borderId="177" xfId="0" applyNumberFormat="1" applyBorder="1" applyAlignment="1">
      <alignment horizontal="center"/>
    </xf>
    <xf numFmtId="1" fontId="12" fillId="0" borderId="178" xfId="0" applyNumberFormat="1" applyFont="1" applyBorder="1" applyAlignment="1">
      <alignment horizontal="center"/>
    </xf>
    <xf numFmtId="13" fontId="12" fillId="0" borderId="179" xfId="0" applyNumberFormat="1" applyFont="1" applyBorder="1"/>
    <xf numFmtId="13" fontId="0" fillId="0" borderId="180" xfId="0" applyNumberFormat="1" applyBorder="1"/>
    <xf numFmtId="0" fontId="0" fillId="0" borderId="180" xfId="0" applyBorder="1"/>
    <xf numFmtId="2" fontId="12" fillId="0" borderId="180" xfId="0" applyNumberFormat="1" applyFont="1" applyBorder="1" applyAlignment="1">
      <alignment horizontal="center"/>
    </xf>
    <xf numFmtId="0" fontId="0" fillId="0" borderId="178" xfId="0" applyBorder="1"/>
    <xf numFmtId="1" fontId="0" fillId="0" borderId="178" xfId="0" applyNumberFormat="1" applyBorder="1" applyAlignment="1">
      <alignment horizontal="center"/>
    </xf>
    <xf numFmtId="166" fontId="0" fillId="0" borderId="179" xfId="0" applyNumberFormat="1" applyBorder="1" applyAlignment="1">
      <alignment horizontal="center"/>
    </xf>
    <xf numFmtId="0" fontId="0" fillId="4" borderId="70" xfId="0" applyFill="1" applyBorder="1"/>
    <xf numFmtId="0" fontId="0" fillId="0" borderId="169" xfId="0" applyBorder="1" applyAlignment="1" applyProtection="1">
      <alignment horizontal="center"/>
      <protection locked="0" hidden="1"/>
    </xf>
    <xf numFmtId="13" fontId="0" fillId="0" borderId="169" xfId="0" applyNumberFormat="1" applyBorder="1" applyAlignment="1" applyProtection="1">
      <alignment horizontal="center"/>
      <protection locked="0" hidden="1"/>
    </xf>
    <xf numFmtId="2" fontId="0" fillId="0" borderId="136" xfId="0" applyNumberFormat="1" applyBorder="1" applyAlignment="1">
      <alignment horizontal="center"/>
    </xf>
    <xf numFmtId="166" fontId="0" fillId="0" borderId="123" xfId="0" applyNumberFormat="1" applyBorder="1" applyAlignment="1">
      <alignment horizontal="center"/>
    </xf>
    <xf numFmtId="2" fontId="0" fillId="0" borderId="169" xfId="0" applyNumberFormat="1" applyBorder="1" applyAlignment="1" applyProtection="1">
      <alignment horizontal="center"/>
      <protection locked="0"/>
    </xf>
    <xf numFmtId="0" fontId="0" fillId="0" borderId="169" xfId="0" applyBorder="1" applyAlignment="1">
      <alignment horizontal="center"/>
    </xf>
    <xf numFmtId="166" fontId="0" fillId="0" borderId="136" xfId="0" applyNumberFormat="1" applyBorder="1" applyAlignment="1">
      <alignment horizontal="center"/>
    </xf>
    <xf numFmtId="0" fontId="0" fillId="0" borderId="170" xfId="0" applyBorder="1" applyAlignment="1" applyProtection="1">
      <alignment horizontal="center"/>
      <protection locked="0" hidden="1"/>
    </xf>
    <xf numFmtId="13" fontId="0" fillId="0" borderId="170" xfId="0" applyNumberFormat="1" applyBorder="1" applyAlignment="1" applyProtection="1">
      <alignment horizontal="center"/>
      <protection locked="0" hidden="1"/>
    </xf>
    <xf numFmtId="2" fontId="0" fillId="0" borderId="170" xfId="0" applyNumberFormat="1" applyBorder="1" applyAlignment="1">
      <alignment horizontal="center"/>
    </xf>
    <xf numFmtId="166" fontId="0" fillId="0" borderId="181" xfId="0" applyNumberFormat="1" applyBorder="1" applyAlignment="1">
      <alignment horizontal="center"/>
    </xf>
    <xf numFmtId="2" fontId="0" fillId="0" borderId="170" xfId="0" applyNumberFormat="1" applyBorder="1" applyAlignment="1" applyProtection="1">
      <alignment horizontal="center"/>
      <protection locked="0"/>
    </xf>
    <xf numFmtId="0" fontId="0" fillId="0" borderId="170" xfId="0" applyBorder="1" applyAlignment="1">
      <alignment horizontal="center"/>
    </xf>
    <xf numFmtId="166" fontId="0" fillId="0" borderId="170" xfId="0" applyNumberFormat="1" applyBorder="1" applyAlignment="1">
      <alignment horizontal="center"/>
    </xf>
    <xf numFmtId="13" fontId="0" fillId="0" borderId="171" xfId="0" applyNumberFormat="1" applyBorder="1" applyAlignment="1" applyProtection="1">
      <alignment horizontal="center"/>
      <protection locked="0" hidden="1"/>
    </xf>
    <xf numFmtId="0" fontId="0" fillId="4" borderId="72" xfId="0" applyFill="1" applyBorder="1"/>
    <xf numFmtId="166" fontId="5" fillId="0" borderId="94" xfId="0" applyNumberFormat="1" applyFont="1" applyBorder="1" applyAlignment="1" applyProtection="1">
      <alignment horizontal="center"/>
    </xf>
    <xf numFmtId="166" fontId="5" fillId="0" borderId="86" xfId="0" applyNumberFormat="1" applyFont="1" applyBorder="1" applyAlignment="1" applyProtection="1">
      <alignment horizontal="center"/>
    </xf>
    <xf numFmtId="13" fontId="5" fillId="0" borderId="86" xfId="0" applyNumberFormat="1" applyFont="1" applyBorder="1" applyAlignment="1" applyProtection="1">
      <alignment horizontal="center"/>
      <protection locked="0"/>
    </xf>
    <xf numFmtId="2" fontId="12" fillId="0" borderId="94" xfId="0" applyNumberFormat="1" applyFont="1" applyBorder="1" applyAlignment="1" applyProtection="1">
      <alignment horizontal="center"/>
      <protection locked="0"/>
    </xf>
    <xf numFmtId="166" fontId="0" fillId="0" borderId="0" xfId="0" applyNumberFormat="1" applyBorder="1"/>
    <xf numFmtId="164" fontId="5" fillId="0" borderId="51" xfId="0" applyNumberFormat="1" applyFont="1" applyBorder="1" applyAlignment="1" applyProtection="1">
      <alignment horizontal="center"/>
    </xf>
    <xf numFmtId="0" fontId="0" fillId="0" borderId="0" xfId="0" applyBorder="1" applyAlignment="1">
      <alignment horizontal="left"/>
    </xf>
    <xf numFmtId="166" fontId="5" fillId="0" borderId="51" xfId="0" applyNumberFormat="1" applyFont="1" applyBorder="1" applyAlignment="1" applyProtection="1">
      <alignment horizontal="center"/>
    </xf>
    <xf numFmtId="0" fontId="0" fillId="0" borderId="0" xfId="0" applyAlignment="1">
      <alignment horizontal="left"/>
    </xf>
    <xf numFmtId="0" fontId="0" fillId="0" borderId="182" xfId="0" applyBorder="1"/>
    <xf numFmtId="0" fontId="0" fillId="0" borderId="51" xfId="0" applyBorder="1" applyAlignment="1">
      <alignment horizontal="center" vertical="center" wrapText="1"/>
    </xf>
    <xf numFmtId="0" fontId="0" fillId="7" borderId="51" xfId="0" applyFill="1" applyBorder="1"/>
    <xf numFmtId="0" fontId="0" fillId="7" borderId="51" xfId="0" applyFill="1" applyBorder="1" applyAlignment="1">
      <alignment horizontal="center"/>
    </xf>
    <xf numFmtId="13" fontId="0" fillId="0" borderId="183" xfId="0" applyNumberFormat="1" applyBorder="1" applyAlignment="1">
      <alignment horizontal="center"/>
    </xf>
    <xf numFmtId="13" fontId="0" fillId="0" borderId="8" xfId="0" applyNumberFormat="1" applyBorder="1" applyAlignment="1">
      <alignment horizontal="center"/>
    </xf>
    <xf numFmtId="12" fontId="0" fillId="0" borderId="8" xfId="0" applyNumberFormat="1" applyBorder="1" applyAlignment="1">
      <alignment horizontal="center"/>
    </xf>
    <xf numFmtId="1" fontId="0" fillId="0" borderId="8" xfId="0" applyNumberFormat="1" applyBorder="1" applyAlignment="1">
      <alignment horizontal="center"/>
    </xf>
    <xf numFmtId="0" fontId="0" fillId="0" borderId="60" xfId="0" applyBorder="1" applyAlignment="1">
      <alignment horizontal="center" vertical="center"/>
    </xf>
    <xf numFmtId="12" fontId="0" fillId="0" borderId="8" xfId="0" applyNumberFormat="1" applyBorder="1" applyAlignment="1">
      <alignment horizontal="center" vertical="center"/>
    </xf>
    <xf numFmtId="12" fontId="0" fillId="6" borderId="184" xfId="0" applyNumberFormat="1" applyFill="1" applyBorder="1" applyAlignment="1">
      <alignment horizontal="center"/>
    </xf>
    <xf numFmtId="12" fontId="0" fillId="6" borderId="1" xfId="0" applyNumberFormat="1" applyFill="1" applyBorder="1" applyAlignment="1">
      <alignment horizontal="center"/>
    </xf>
    <xf numFmtId="1" fontId="0" fillId="6" borderId="1" xfId="0" applyNumberFormat="1" applyFill="1" applyBorder="1" applyAlignment="1">
      <alignment horizontal="center"/>
    </xf>
    <xf numFmtId="0" fontId="0" fillId="6" borderId="12" xfId="0" applyFill="1" applyBorder="1" applyAlignment="1">
      <alignment horizontal="center" vertical="center"/>
    </xf>
    <xf numFmtId="12" fontId="0" fillId="6" borderId="1" xfId="0" applyNumberFormat="1" applyFill="1" applyBorder="1" applyAlignment="1">
      <alignment horizontal="center" vertical="center"/>
    </xf>
    <xf numFmtId="12" fontId="0" fillId="0" borderId="184" xfId="0" applyNumberFormat="1" applyBorder="1" applyAlignment="1">
      <alignment horizontal="center"/>
    </xf>
    <xf numFmtId="12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0" fontId="0" fillId="0" borderId="12" xfId="0" applyBorder="1" applyAlignment="1">
      <alignment horizontal="center" vertical="center"/>
    </xf>
    <xf numFmtId="12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9" borderId="51" xfId="0" applyFill="1" applyBorder="1"/>
    <xf numFmtId="0" fontId="0" fillId="9" borderId="51" xfId="0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185" xfId="0" applyBorder="1"/>
    <xf numFmtId="0" fontId="0" fillId="10" borderId="51" xfId="0" applyFill="1" applyBorder="1"/>
    <xf numFmtId="0" fontId="0" fillId="10" borderId="51" xfId="0" applyFill="1" applyBorder="1" applyAlignment="1">
      <alignment horizontal="center"/>
    </xf>
    <xf numFmtId="0" fontId="0" fillId="11" borderId="51" xfId="0" applyFill="1" applyBorder="1"/>
    <xf numFmtId="0" fontId="0" fillId="11" borderId="51" xfId="0" applyFill="1" applyBorder="1" applyAlignment="1">
      <alignment horizontal="center"/>
    </xf>
    <xf numFmtId="1" fontId="0" fillId="6" borderId="1" xfId="0" applyNumberFormat="1" applyFill="1" applyBorder="1" applyAlignment="1">
      <alignment horizontal="center" vertical="center"/>
    </xf>
    <xf numFmtId="12" fontId="0" fillId="0" borderId="0" xfId="0" applyNumberFormat="1"/>
    <xf numFmtId="0" fontId="0" fillId="12" borderId="51" xfId="0" applyFill="1" applyBorder="1"/>
    <xf numFmtId="0" fontId="0" fillId="12" borderId="51" xfId="0" applyFill="1" applyBorder="1" applyAlignment="1">
      <alignment horizontal="center"/>
    </xf>
    <xf numFmtId="12" fontId="0" fillId="0" borderId="21" xfId="0" applyNumberForma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13" fontId="0" fillId="0" borderId="8" xfId="0" applyNumberFormat="1" applyBorder="1" applyAlignment="1">
      <alignment horizontal="left" vertical="center"/>
    </xf>
    <xf numFmtId="12" fontId="0" fillId="6" borderId="3" xfId="0" applyNumberFormat="1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13" fontId="0" fillId="6" borderId="1" xfId="0" applyNumberFormat="1" applyFill="1" applyBorder="1" applyAlignment="1">
      <alignment horizontal="left" vertical="center"/>
    </xf>
    <xf numFmtId="12" fontId="0" fillId="0" borderId="3" xfId="0" applyNumberFormat="1" applyBorder="1" applyAlignment="1">
      <alignment horizontal="center" vertical="center"/>
    </xf>
    <xf numFmtId="16" fontId="0" fillId="0" borderId="1" xfId="0" applyNumberFormat="1" applyBorder="1" applyAlignment="1">
      <alignment horizontal="center" vertical="center"/>
    </xf>
    <xf numFmtId="13" fontId="0" fillId="0" borderId="1" xfId="0" applyNumberFormat="1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17" fontId="0" fillId="6" borderId="1" xfId="0" applyNumberFormat="1" applyFill="1" applyBorder="1" applyAlignment="1">
      <alignment horizontal="center" vertical="center"/>
    </xf>
    <xf numFmtId="49" fontId="0" fillId="0" borderId="0" xfId="0" applyNumberFormat="1"/>
    <xf numFmtId="0" fontId="0" fillId="0" borderId="186" xfId="0" applyBorder="1"/>
    <xf numFmtId="0" fontId="0" fillId="2" borderId="51" xfId="0" applyFill="1" applyBorder="1"/>
    <xf numFmtId="0" fontId="0" fillId="2" borderId="51" xfId="0" applyFill="1" applyBorder="1" applyAlignment="1">
      <alignment horizontal="center"/>
    </xf>
    <xf numFmtId="0" fontId="0" fillId="13" borderId="51" xfId="0" applyFill="1" applyBorder="1"/>
    <xf numFmtId="0" fontId="0" fillId="13" borderId="51" xfId="0" applyFill="1" applyBorder="1" applyAlignment="1">
      <alignment horizontal="center"/>
    </xf>
    <xf numFmtId="12" fontId="0" fillId="0" borderId="18" xfId="0" applyNumberFormat="1" applyBorder="1" applyAlignment="1">
      <alignment horizontal="center" vertical="center"/>
    </xf>
    <xf numFmtId="12" fontId="0" fillId="6" borderId="13" xfId="0" applyNumberFormat="1" applyFill="1" applyBorder="1" applyAlignment="1">
      <alignment horizontal="center" vertical="center"/>
    </xf>
    <xf numFmtId="12" fontId="0" fillId="0" borderId="13" xfId="0" applyNumberFormat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/>
    </xf>
    <xf numFmtId="0" fontId="2" fillId="13" borderId="51" xfId="0" applyFont="1" applyFill="1" applyBorder="1" applyAlignment="1">
      <alignment horizontal="center" vertical="center"/>
    </xf>
    <xf numFmtId="0" fontId="2" fillId="13" borderId="57" xfId="0" applyFont="1" applyFill="1" applyBorder="1" applyAlignment="1">
      <alignment horizontal="center" vertical="center"/>
    </xf>
    <xf numFmtId="0" fontId="2" fillId="0" borderId="46" xfId="0" applyFont="1" applyBorder="1" applyAlignment="1">
      <alignment horizontal="center" vertical="center"/>
    </xf>
    <xf numFmtId="12" fontId="2" fillId="13" borderId="8" xfId="0" applyNumberFormat="1" applyFont="1" applyFill="1" applyBorder="1" applyAlignment="1">
      <alignment horizontal="center" vertical="center"/>
    </xf>
    <xf numFmtId="12" fontId="2" fillId="13" borderId="1" xfId="0" applyNumberFormat="1" applyFont="1" applyFill="1" applyBorder="1" applyAlignment="1">
      <alignment horizontal="center" vertical="center"/>
    </xf>
    <xf numFmtId="1" fontId="2" fillId="13" borderId="1" xfId="0" applyNumberFormat="1" applyFont="1" applyFill="1" applyBorder="1" applyAlignment="1">
      <alignment horizontal="center" vertical="center"/>
    </xf>
    <xf numFmtId="0" fontId="80" fillId="0" borderId="0" xfId="0" applyFont="1" applyAlignment="1">
      <alignment horizontal="right" vertical="top"/>
    </xf>
    <xf numFmtId="0" fontId="81" fillId="0" borderId="0" xfId="0" applyFont="1"/>
    <xf numFmtId="0" fontId="82" fillId="0" borderId="0" xfId="0" applyFont="1"/>
    <xf numFmtId="12" fontId="50" fillId="0" borderId="1" xfId="0" applyNumberFormat="1" applyFont="1" applyFill="1" applyBorder="1" applyAlignment="1">
      <alignment horizontal="center" vertical="center"/>
    </xf>
    <xf numFmtId="0" fontId="50" fillId="0" borderId="1" xfId="0" applyNumberFormat="1" applyFont="1" applyFill="1" applyBorder="1" applyAlignment="1">
      <alignment horizontal="center" vertical="center"/>
    </xf>
    <xf numFmtId="0" fontId="50" fillId="0" borderId="1" xfId="0" applyFont="1" applyFill="1" applyBorder="1" applyAlignment="1">
      <alignment horizontal="center" vertical="center"/>
    </xf>
    <xf numFmtId="12" fontId="50" fillId="0" borderId="29" xfId="0" applyNumberFormat="1" applyFont="1" applyFill="1" applyBorder="1" applyAlignment="1">
      <alignment horizontal="center" vertical="center"/>
    </xf>
    <xf numFmtId="0" fontId="81" fillId="7" borderId="29" xfId="0" applyFont="1" applyFill="1" applyBorder="1" applyAlignment="1">
      <alignment horizontal="center" vertical="center"/>
    </xf>
    <xf numFmtId="13" fontId="81" fillId="7" borderId="29" xfId="0" applyNumberFormat="1" applyFont="1" applyFill="1" applyBorder="1" applyAlignment="1">
      <alignment horizontal="center" vertical="center"/>
    </xf>
    <xf numFmtId="0" fontId="81" fillId="6" borderId="29" xfId="0" applyFont="1" applyFill="1" applyBorder="1" applyAlignment="1">
      <alignment horizontal="center" vertical="center"/>
    </xf>
    <xf numFmtId="12" fontId="50" fillId="6" borderId="1" xfId="0" applyNumberFormat="1" applyFont="1" applyFill="1" applyBorder="1" applyAlignment="1">
      <alignment horizontal="center" vertical="center"/>
    </xf>
    <xf numFmtId="0" fontId="81" fillId="9" borderId="1" xfId="0" applyFont="1" applyFill="1" applyBorder="1" applyAlignment="1">
      <alignment horizontal="center" vertical="center"/>
    </xf>
    <xf numFmtId="13" fontId="81" fillId="9" borderId="1" xfId="0" applyNumberFormat="1" applyFont="1" applyFill="1" applyBorder="1" applyAlignment="1">
      <alignment horizontal="center" vertical="center"/>
    </xf>
    <xf numFmtId="0" fontId="81" fillId="6" borderId="1" xfId="0" applyFont="1" applyFill="1" applyBorder="1" applyAlignment="1">
      <alignment horizontal="center" vertical="center"/>
    </xf>
    <xf numFmtId="0" fontId="81" fillId="10" borderId="1" xfId="0" applyFont="1" applyFill="1" applyBorder="1" applyAlignment="1">
      <alignment horizontal="center" vertical="center"/>
    </xf>
    <xf numFmtId="12" fontId="81" fillId="10" borderId="1" xfId="0" applyNumberFormat="1" applyFont="1" applyFill="1" applyBorder="1" applyAlignment="1">
      <alignment horizontal="center" vertical="center"/>
    </xf>
    <xf numFmtId="0" fontId="81" fillId="7" borderId="1" xfId="0" applyFont="1" applyFill="1" applyBorder="1" applyAlignment="1">
      <alignment horizontal="center" vertical="center"/>
    </xf>
    <xf numFmtId="12" fontId="81" fillId="7" borderId="1" xfId="0" applyNumberFormat="1" applyFont="1" applyFill="1" applyBorder="1" applyAlignment="1">
      <alignment horizontal="center" vertical="center"/>
    </xf>
    <xf numFmtId="13" fontId="81" fillId="7" borderId="1" xfId="0" applyNumberFormat="1" applyFont="1" applyFill="1" applyBorder="1" applyAlignment="1">
      <alignment horizontal="center" vertical="center"/>
    </xf>
    <xf numFmtId="12" fontId="81" fillId="9" borderId="1" xfId="0" applyNumberFormat="1" applyFont="1" applyFill="1" applyBorder="1" applyAlignment="1">
      <alignment horizontal="center" vertical="center"/>
    </xf>
    <xf numFmtId="13" fontId="81" fillId="10" borderId="1" xfId="0" applyNumberFormat="1" applyFont="1" applyFill="1" applyBorder="1" applyAlignment="1">
      <alignment horizontal="center" vertical="center"/>
    </xf>
    <xf numFmtId="49" fontId="80" fillId="10" borderId="1" xfId="0" applyNumberFormat="1" applyFont="1" applyFill="1" applyBorder="1" applyAlignment="1">
      <alignment horizontal="center" vertical="top"/>
    </xf>
    <xf numFmtId="0" fontId="0" fillId="10" borderId="1" xfId="0" applyFill="1" applyBorder="1"/>
    <xf numFmtId="0" fontId="23" fillId="7" borderId="65" xfId="0" applyFont="1" applyFill="1" applyBorder="1" applyAlignment="1">
      <alignment horizontal="center" vertical="center"/>
    </xf>
    <xf numFmtId="0" fontId="23" fillId="7" borderId="66" xfId="0" applyFont="1" applyFill="1" applyBorder="1" applyAlignment="1">
      <alignment horizontal="center" vertical="center"/>
    </xf>
    <xf numFmtId="0" fontId="23" fillId="7" borderId="67" xfId="0" applyFont="1" applyFill="1" applyBorder="1" applyAlignment="1">
      <alignment horizontal="center" vertical="center"/>
    </xf>
    <xf numFmtId="0" fontId="0" fillId="0" borderId="34" xfId="0" applyBorder="1" applyAlignment="1">
      <alignment horizontal="center"/>
    </xf>
    <xf numFmtId="0" fontId="0" fillId="0" borderId="47" xfId="0" applyBorder="1" applyAlignment="1">
      <alignment horizontal="center"/>
    </xf>
    <xf numFmtId="0" fontId="14" fillId="0" borderId="23" xfId="0" applyFont="1" applyBorder="1" applyAlignment="1">
      <alignment horizontal="center" vertical="center" textRotation="90" wrapText="1"/>
    </xf>
    <xf numFmtId="0" fontId="14" fillId="0" borderId="25" xfId="0" applyFont="1" applyBorder="1" applyAlignment="1">
      <alignment horizontal="center" vertical="center" textRotation="90" wrapText="1"/>
    </xf>
    <xf numFmtId="0" fontId="0" fillId="0" borderId="23" xfId="0" applyBorder="1" applyAlignment="1">
      <alignment horizontal="center" vertical="center" textRotation="90"/>
    </xf>
    <xf numFmtId="0" fontId="0" fillId="0" borderId="45" xfId="0" applyBorder="1" applyAlignment="1">
      <alignment horizontal="center" vertical="center" textRotation="90"/>
    </xf>
    <xf numFmtId="0" fontId="0" fillId="0" borderId="25" xfId="0" applyBorder="1" applyAlignment="1">
      <alignment horizontal="center" vertical="center" textRotation="90"/>
    </xf>
    <xf numFmtId="0" fontId="0" fillId="0" borderId="57" xfId="0" applyBorder="1" applyAlignment="1">
      <alignment horizontal="center" vertical="center" wrapText="1"/>
    </xf>
    <xf numFmtId="0" fontId="0" fillId="0" borderId="160" xfId="0" applyBorder="1" applyAlignment="1">
      <alignment horizontal="center" vertical="center" wrapText="1"/>
    </xf>
    <xf numFmtId="0" fontId="0" fillId="0" borderId="23" xfId="0" applyBorder="1" applyAlignment="1">
      <alignment horizontal="center" textRotation="90"/>
    </xf>
    <xf numFmtId="0" fontId="0" fillId="0" borderId="25" xfId="0" applyBorder="1" applyAlignment="1">
      <alignment horizontal="center" textRotation="90"/>
    </xf>
    <xf numFmtId="13" fontId="0" fillId="0" borderId="3" xfId="0" applyNumberFormat="1" applyBorder="1" applyAlignment="1">
      <alignment horizontal="center"/>
    </xf>
    <xf numFmtId="13" fontId="0" fillId="0" borderId="10" xfId="0" applyNumberFormat="1" applyBorder="1" applyAlignment="1">
      <alignment horizontal="center"/>
    </xf>
    <xf numFmtId="13" fontId="0" fillId="0" borderId="28" xfId="0" applyNumberFormat="1" applyBorder="1" applyAlignment="1">
      <alignment horizontal="center"/>
    </xf>
    <xf numFmtId="13" fontId="0" fillId="0" borderId="7" xfId="0" applyNumberFormat="1" applyBorder="1" applyAlignment="1">
      <alignment horizontal="center" vertical="center"/>
    </xf>
    <xf numFmtId="13" fontId="0" fillId="0" borderId="187" xfId="0" applyNumberFormat="1" applyBorder="1" applyAlignment="1">
      <alignment horizontal="center" vertical="center"/>
    </xf>
    <xf numFmtId="13" fontId="0" fillId="0" borderId="61" xfId="0" applyNumberFormat="1" applyBorder="1" applyAlignment="1">
      <alignment horizontal="center" vertical="center"/>
    </xf>
    <xf numFmtId="13" fontId="0" fillId="0" borderId="33" xfId="0" applyNumberFormat="1" applyBorder="1" applyAlignment="1">
      <alignment horizontal="center" vertical="center"/>
    </xf>
    <xf numFmtId="13" fontId="0" fillId="0" borderId="30" xfId="0" applyNumberFormat="1" applyBorder="1" applyAlignment="1">
      <alignment horizontal="center" vertical="center"/>
    </xf>
    <xf numFmtId="13" fontId="0" fillId="0" borderId="31" xfId="0" applyNumberFormat="1" applyBorder="1" applyAlignment="1">
      <alignment horizontal="center" vertical="center"/>
    </xf>
    <xf numFmtId="0" fontId="14" fillId="0" borderId="23" xfId="0" applyFont="1" applyBorder="1" applyAlignment="1">
      <alignment horizontal="center" vertical="center" wrapText="1"/>
    </xf>
    <xf numFmtId="0" fontId="14" fillId="0" borderId="25" xfId="0" applyFont="1" applyBorder="1" applyAlignment="1">
      <alignment horizontal="center" vertical="center" wrapText="1"/>
    </xf>
    <xf numFmtId="0" fontId="0" fillId="0" borderId="23" xfId="0" applyBorder="1" applyAlignment="1">
      <alignment horizontal="center" vertical="center"/>
    </xf>
    <xf numFmtId="0" fontId="0" fillId="0" borderId="23" xfId="0" applyBorder="1" applyAlignment="1">
      <alignment horizontal="center" vertical="center" textRotation="90" wrapText="1"/>
    </xf>
    <xf numFmtId="0" fontId="0" fillId="0" borderId="25" xfId="0" applyBorder="1" applyAlignment="1">
      <alignment horizontal="center" vertical="center" textRotation="90" wrapText="1"/>
    </xf>
    <xf numFmtId="0" fontId="23" fillId="9" borderId="65" xfId="0" applyFont="1" applyFill="1" applyBorder="1" applyAlignment="1">
      <alignment horizontal="center" vertical="center"/>
    </xf>
    <xf numFmtId="0" fontId="23" fillId="9" borderId="66" xfId="0" applyFont="1" applyFill="1" applyBorder="1" applyAlignment="1">
      <alignment horizontal="center" vertical="center"/>
    </xf>
    <xf numFmtId="0" fontId="23" fillId="9" borderId="67" xfId="0" applyFont="1" applyFill="1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7" xfId="0" applyBorder="1" applyAlignment="1">
      <alignment horizontal="center" vertical="center"/>
    </xf>
    <xf numFmtId="0" fontId="0" fillId="0" borderId="187" xfId="0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23" fillId="10" borderId="65" xfId="0" applyFont="1" applyFill="1" applyBorder="1" applyAlignment="1">
      <alignment horizontal="center" vertical="center"/>
    </xf>
    <xf numFmtId="0" fontId="23" fillId="10" borderId="66" xfId="0" applyFont="1" applyFill="1" applyBorder="1" applyAlignment="1">
      <alignment horizontal="center" vertical="center"/>
    </xf>
    <xf numFmtId="0" fontId="23" fillId="10" borderId="67" xfId="0" applyFont="1" applyFill="1" applyBorder="1" applyAlignment="1">
      <alignment horizontal="center" vertical="center"/>
    </xf>
    <xf numFmtId="0" fontId="23" fillId="11" borderId="65" xfId="0" applyFont="1" applyFill="1" applyBorder="1" applyAlignment="1">
      <alignment horizontal="center" vertical="center"/>
    </xf>
    <xf numFmtId="0" fontId="23" fillId="11" borderId="66" xfId="0" applyFont="1" applyFill="1" applyBorder="1" applyAlignment="1">
      <alignment horizontal="center" vertical="center"/>
    </xf>
    <xf numFmtId="0" fontId="23" fillId="11" borderId="67" xfId="0" applyFont="1" applyFill="1" applyBorder="1" applyAlignment="1">
      <alignment horizontal="center" vertical="center"/>
    </xf>
    <xf numFmtId="0" fontId="0" fillId="0" borderId="25" xfId="0" applyBorder="1"/>
    <xf numFmtId="0" fontId="23" fillId="13" borderId="65" xfId="0" applyFont="1" applyFill="1" applyBorder="1" applyAlignment="1">
      <alignment horizontal="center" vertical="center"/>
    </xf>
    <xf numFmtId="0" fontId="23" fillId="13" borderId="66" xfId="0" applyFont="1" applyFill="1" applyBorder="1" applyAlignment="1">
      <alignment horizontal="center" vertical="center"/>
    </xf>
    <xf numFmtId="0" fontId="23" fillId="13" borderId="67" xfId="0" applyFont="1" applyFill="1" applyBorder="1" applyAlignment="1">
      <alignment horizontal="center" vertical="center"/>
    </xf>
    <xf numFmtId="0" fontId="23" fillId="12" borderId="65" xfId="0" applyFont="1" applyFill="1" applyBorder="1" applyAlignment="1">
      <alignment horizontal="center" vertical="center"/>
    </xf>
    <xf numFmtId="0" fontId="23" fillId="12" borderId="66" xfId="0" applyFont="1" applyFill="1" applyBorder="1" applyAlignment="1">
      <alignment horizontal="center" vertical="center"/>
    </xf>
    <xf numFmtId="0" fontId="23" fillId="12" borderId="67" xfId="0" applyFont="1" applyFill="1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0" fillId="0" borderId="160" xfId="0" applyBorder="1" applyAlignment="1">
      <alignment horizontal="center" vertical="center"/>
    </xf>
    <xf numFmtId="0" fontId="0" fillId="0" borderId="45" xfId="0" applyBorder="1" applyAlignment="1">
      <alignment horizontal="center" textRotation="90"/>
    </xf>
    <xf numFmtId="0" fontId="23" fillId="2" borderId="188" xfId="0" applyFont="1" applyFill="1" applyBorder="1" applyAlignment="1">
      <alignment horizontal="center" vertical="center"/>
    </xf>
    <xf numFmtId="0" fontId="23" fillId="2" borderId="79" xfId="0" applyFont="1" applyFill="1" applyBorder="1" applyAlignment="1">
      <alignment horizontal="center" vertical="center"/>
    </xf>
    <xf numFmtId="0" fontId="23" fillId="2" borderId="189" xfId="0" applyFont="1" applyFill="1" applyBorder="1" applyAlignment="1">
      <alignment horizontal="center" vertical="center"/>
    </xf>
    <xf numFmtId="0" fontId="23" fillId="14" borderId="65" xfId="0" applyFont="1" applyFill="1" applyBorder="1" applyAlignment="1">
      <alignment horizontal="center" vertical="center"/>
    </xf>
    <xf numFmtId="0" fontId="23" fillId="14" borderId="66" xfId="0" applyFont="1" applyFill="1" applyBorder="1" applyAlignment="1">
      <alignment horizontal="center" vertical="center"/>
    </xf>
    <xf numFmtId="0" fontId="23" fillId="14" borderId="67" xfId="0" applyFont="1" applyFill="1" applyBorder="1" applyAlignment="1">
      <alignment horizontal="center" vertical="center"/>
    </xf>
    <xf numFmtId="0" fontId="0" fillId="0" borderId="190" xfId="0" applyBorder="1" applyAlignment="1">
      <alignment horizontal="center"/>
    </xf>
    <xf numFmtId="0" fontId="0" fillId="0" borderId="185" xfId="0" applyBorder="1" applyAlignment="1">
      <alignment horizontal="center"/>
    </xf>
    <xf numFmtId="0" fontId="0" fillId="0" borderId="186" xfId="0" applyBorder="1" applyAlignment="1">
      <alignment horizontal="center"/>
    </xf>
    <xf numFmtId="0" fontId="5" fillId="14" borderId="57" xfId="0" applyFont="1" applyFill="1" applyBorder="1" applyAlignment="1">
      <alignment horizontal="center"/>
    </xf>
    <xf numFmtId="0" fontId="5" fillId="14" borderId="159" xfId="0" applyFont="1" applyFill="1" applyBorder="1" applyAlignment="1">
      <alignment horizontal="center"/>
    </xf>
    <xf numFmtId="0" fontId="5" fillId="14" borderId="160" xfId="0" applyFont="1" applyFill="1" applyBorder="1" applyAlignment="1">
      <alignment horizontal="center"/>
    </xf>
    <xf numFmtId="0" fontId="60" fillId="9" borderId="65" xfId="0" applyFont="1" applyFill="1" applyBorder="1" applyAlignment="1">
      <alignment horizontal="center" vertical="center"/>
    </xf>
    <xf numFmtId="0" fontId="60" fillId="9" borderId="66" xfId="0" applyFont="1" applyFill="1" applyBorder="1" applyAlignment="1">
      <alignment horizontal="center" vertical="center"/>
    </xf>
    <xf numFmtId="0" fontId="60" fillId="9" borderId="67" xfId="0" applyFont="1" applyFill="1" applyBorder="1" applyAlignment="1">
      <alignment horizontal="center" vertical="center"/>
    </xf>
    <xf numFmtId="0" fontId="0" fillId="0" borderId="81" xfId="0" applyBorder="1" applyAlignment="1">
      <alignment horizontal="center" vertical="center"/>
    </xf>
    <xf numFmtId="0" fontId="32" fillId="0" borderId="1" xfId="0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2.emf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2.emf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2.emf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2.emf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2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1</xdr:row>
          <xdr:rowOff>19050</xdr:rowOff>
        </xdr:from>
        <xdr:to>
          <xdr:col>24</xdr:col>
          <xdr:colOff>85725</xdr:colOff>
          <xdr:row>1</xdr:row>
          <xdr:rowOff>2695575</xdr:rowOff>
        </xdr:to>
        <xdr:sp macro="" textlink="">
          <xdr:nvSpPr>
            <xdr:cNvPr id="36865" name="Object 1" hidden="1">
              <a:extLst>
                <a:ext uri="{63B3BB69-23CF-44E3-9099-C40C66FF867C}">
                  <a14:compatExt spid="_x0000_s368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19050</xdr:colOff>
      <xdr:row>7</xdr:row>
      <xdr:rowOff>0</xdr:rowOff>
    </xdr:from>
    <xdr:to>
      <xdr:col>10</xdr:col>
      <xdr:colOff>9525</xdr:colOff>
      <xdr:row>7</xdr:row>
      <xdr:rowOff>0</xdr:rowOff>
    </xdr:to>
    <xdr:sp macro="" textlink="">
      <xdr:nvSpPr>
        <xdr:cNvPr id="2054" name="Line 6"/>
        <xdr:cNvSpPr>
          <a:spLocks noChangeShapeType="1"/>
        </xdr:cNvSpPr>
      </xdr:nvSpPr>
      <xdr:spPr bwMode="auto">
        <a:xfrm>
          <a:off x="4438650" y="1381125"/>
          <a:ext cx="1257300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28575</xdr:colOff>
      <xdr:row>7</xdr:row>
      <xdr:rowOff>19050</xdr:rowOff>
    </xdr:from>
    <xdr:to>
      <xdr:col>8</xdr:col>
      <xdr:colOff>28575</xdr:colOff>
      <xdr:row>7</xdr:row>
      <xdr:rowOff>66675</xdr:rowOff>
    </xdr:to>
    <xdr:sp macro="" textlink="">
      <xdr:nvSpPr>
        <xdr:cNvPr id="2055" name="Line 7"/>
        <xdr:cNvSpPr>
          <a:spLocks noChangeShapeType="1"/>
        </xdr:cNvSpPr>
      </xdr:nvSpPr>
      <xdr:spPr bwMode="auto">
        <a:xfrm>
          <a:off x="4448175" y="1400175"/>
          <a:ext cx="0" cy="476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152400</xdr:rowOff>
    </xdr:from>
    <xdr:to>
      <xdr:col>10</xdr:col>
      <xdr:colOff>19050</xdr:colOff>
      <xdr:row>7</xdr:row>
      <xdr:rowOff>66675</xdr:rowOff>
    </xdr:to>
    <xdr:sp macro="" textlink="">
      <xdr:nvSpPr>
        <xdr:cNvPr id="2056" name="Line 8"/>
        <xdr:cNvSpPr>
          <a:spLocks noChangeShapeType="1"/>
        </xdr:cNvSpPr>
      </xdr:nvSpPr>
      <xdr:spPr bwMode="auto">
        <a:xfrm>
          <a:off x="5695950" y="1371600"/>
          <a:ext cx="9525" cy="7620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38100</xdr:colOff>
      <xdr:row>7</xdr:row>
      <xdr:rowOff>66675</xdr:rowOff>
    </xdr:from>
    <xdr:to>
      <xdr:col>8</xdr:col>
      <xdr:colOff>561975</xdr:colOff>
      <xdr:row>7</xdr:row>
      <xdr:rowOff>66675</xdr:rowOff>
    </xdr:to>
    <xdr:sp macro="" textlink="">
      <xdr:nvSpPr>
        <xdr:cNvPr id="2057" name="Line 9"/>
        <xdr:cNvSpPr>
          <a:spLocks noChangeShapeType="1"/>
        </xdr:cNvSpPr>
      </xdr:nvSpPr>
      <xdr:spPr bwMode="auto">
        <a:xfrm flipV="1">
          <a:off x="4457700" y="1447800"/>
          <a:ext cx="52387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38100</xdr:colOff>
      <xdr:row>7</xdr:row>
      <xdr:rowOff>66675</xdr:rowOff>
    </xdr:from>
    <xdr:to>
      <xdr:col>10</xdr:col>
      <xdr:colOff>19050</xdr:colOff>
      <xdr:row>7</xdr:row>
      <xdr:rowOff>66675</xdr:rowOff>
    </xdr:to>
    <xdr:sp macro="" textlink="">
      <xdr:nvSpPr>
        <xdr:cNvPr id="2058" name="Line 10"/>
        <xdr:cNvSpPr>
          <a:spLocks noChangeShapeType="1"/>
        </xdr:cNvSpPr>
      </xdr:nvSpPr>
      <xdr:spPr bwMode="auto">
        <a:xfrm flipH="1">
          <a:off x="5086350" y="1447800"/>
          <a:ext cx="61912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</xdr:colOff>
      <xdr:row>14</xdr:row>
      <xdr:rowOff>142875</xdr:rowOff>
    </xdr:from>
    <xdr:to>
      <xdr:col>10</xdr:col>
      <xdr:colOff>19050</xdr:colOff>
      <xdr:row>14</xdr:row>
      <xdr:rowOff>142875</xdr:rowOff>
    </xdr:to>
    <xdr:sp macro="" textlink="">
      <xdr:nvSpPr>
        <xdr:cNvPr id="2059" name="Line 11"/>
        <xdr:cNvSpPr>
          <a:spLocks noChangeShapeType="1"/>
        </xdr:cNvSpPr>
      </xdr:nvSpPr>
      <xdr:spPr bwMode="auto">
        <a:xfrm>
          <a:off x="4438650" y="2809875"/>
          <a:ext cx="126682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581025</xdr:colOff>
      <xdr:row>7</xdr:row>
      <xdr:rowOff>66675</xdr:rowOff>
    </xdr:from>
    <xdr:to>
      <xdr:col>8</xdr:col>
      <xdr:colOff>581025</xdr:colOff>
      <xdr:row>14</xdr:row>
      <xdr:rowOff>57150</xdr:rowOff>
    </xdr:to>
    <xdr:sp macro="" textlink="">
      <xdr:nvSpPr>
        <xdr:cNvPr id="2060" name="Line 12"/>
        <xdr:cNvSpPr>
          <a:spLocks noChangeShapeType="1"/>
        </xdr:cNvSpPr>
      </xdr:nvSpPr>
      <xdr:spPr bwMode="auto">
        <a:xfrm>
          <a:off x="5000625" y="1447800"/>
          <a:ext cx="0" cy="127635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</xdr:colOff>
      <xdr:row>14</xdr:row>
      <xdr:rowOff>76200</xdr:rowOff>
    </xdr:from>
    <xdr:to>
      <xdr:col>8</xdr:col>
      <xdr:colOff>552450</xdr:colOff>
      <xdr:row>14</xdr:row>
      <xdr:rowOff>76200</xdr:rowOff>
    </xdr:to>
    <xdr:sp macro="" textlink="">
      <xdr:nvSpPr>
        <xdr:cNvPr id="2061" name="Line 13"/>
        <xdr:cNvSpPr>
          <a:spLocks noChangeShapeType="1"/>
        </xdr:cNvSpPr>
      </xdr:nvSpPr>
      <xdr:spPr bwMode="auto">
        <a:xfrm flipH="1">
          <a:off x="4438650" y="2743200"/>
          <a:ext cx="533400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</xdr:colOff>
      <xdr:row>14</xdr:row>
      <xdr:rowOff>76200</xdr:rowOff>
    </xdr:from>
    <xdr:to>
      <xdr:col>8</xdr:col>
      <xdr:colOff>28575</xdr:colOff>
      <xdr:row>15</xdr:row>
      <xdr:rowOff>0</xdr:rowOff>
    </xdr:to>
    <xdr:sp macro="" textlink="">
      <xdr:nvSpPr>
        <xdr:cNvPr id="2062" name="Line 14"/>
        <xdr:cNvSpPr>
          <a:spLocks noChangeShapeType="1"/>
        </xdr:cNvSpPr>
      </xdr:nvSpPr>
      <xdr:spPr bwMode="auto">
        <a:xfrm flipH="1">
          <a:off x="4438650" y="2743200"/>
          <a:ext cx="9525" cy="857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14</xdr:row>
      <xdr:rowOff>28575</xdr:rowOff>
    </xdr:from>
    <xdr:to>
      <xdr:col>8</xdr:col>
      <xdr:colOff>590550</xdr:colOff>
      <xdr:row>14</xdr:row>
      <xdr:rowOff>76200</xdr:rowOff>
    </xdr:to>
    <xdr:sp macro="" textlink="">
      <xdr:nvSpPr>
        <xdr:cNvPr id="2063" name="Line 15"/>
        <xdr:cNvSpPr>
          <a:spLocks noChangeShapeType="1"/>
        </xdr:cNvSpPr>
      </xdr:nvSpPr>
      <xdr:spPr bwMode="auto">
        <a:xfrm flipH="1">
          <a:off x="4943475" y="2695575"/>
          <a:ext cx="66675" cy="476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7</xdr:row>
      <xdr:rowOff>66675</xdr:rowOff>
    </xdr:from>
    <xdr:to>
      <xdr:col>9</xdr:col>
      <xdr:colOff>9525</xdr:colOff>
      <xdr:row>14</xdr:row>
      <xdr:rowOff>19050</xdr:rowOff>
    </xdr:to>
    <xdr:sp macro="" textlink="">
      <xdr:nvSpPr>
        <xdr:cNvPr id="2064" name="Line 16"/>
        <xdr:cNvSpPr>
          <a:spLocks noChangeShapeType="1"/>
        </xdr:cNvSpPr>
      </xdr:nvSpPr>
      <xdr:spPr bwMode="auto">
        <a:xfrm>
          <a:off x="5057775" y="1447800"/>
          <a:ext cx="0" cy="123825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14</xdr:row>
      <xdr:rowOff>19050</xdr:rowOff>
    </xdr:from>
    <xdr:to>
      <xdr:col>9</xdr:col>
      <xdr:colOff>57150</xdr:colOff>
      <xdr:row>14</xdr:row>
      <xdr:rowOff>66675</xdr:rowOff>
    </xdr:to>
    <xdr:sp macro="" textlink="">
      <xdr:nvSpPr>
        <xdr:cNvPr id="2065" name="Line 17"/>
        <xdr:cNvSpPr>
          <a:spLocks noChangeShapeType="1"/>
        </xdr:cNvSpPr>
      </xdr:nvSpPr>
      <xdr:spPr bwMode="auto">
        <a:xfrm>
          <a:off x="5076825" y="2686050"/>
          <a:ext cx="28575" cy="476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47625</xdr:colOff>
      <xdr:row>14</xdr:row>
      <xdr:rowOff>66675</xdr:rowOff>
    </xdr:from>
    <xdr:to>
      <xdr:col>10</xdr:col>
      <xdr:colOff>9525</xdr:colOff>
      <xdr:row>14</xdr:row>
      <xdr:rowOff>66675</xdr:rowOff>
    </xdr:to>
    <xdr:sp macro="" textlink="">
      <xdr:nvSpPr>
        <xdr:cNvPr id="2066" name="Line 18"/>
        <xdr:cNvSpPr>
          <a:spLocks noChangeShapeType="1"/>
        </xdr:cNvSpPr>
      </xdr:nvSpPr>
      <xdr:spPr bwMode="auto">
        <a:xfrm>
          <a:off x="5095875" y="2733675"/>
          <a:ext cx="60007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14</xdr:row>
      <xdr:rowOff>66675</xdr:rowOff>
    </xdr:from>
    <xdr:to>
      <xdr:col>10</xdr:col>
      <xdr:colOff>9525</xdr:colOff>
      <xdr:row>14</xdr:row>
      <xdr:rowOff>142875</xdr:rowOff>
    </xdr:to>
    <xdr:sp macro="" textlink="">
      <xdr:nvSpPr>
        <xdr:cNvPr id="2067" name="Line 19"/>
        <xdr:cNvSpPr>
          <a:spLocks noChangeShapeType="1"/>
        </xdr:cNvSpPr>
      </xdr:nvSpPr>
      <xdr:spPr bwMode="auto">
        <a:xfrm flipH="1">
          <a:off x="5686425" y="2733675"/>
          <a:ext cx="9525" cy="7620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9525</xdr:colOff>
      <xdr:row>1</xdr:row>
      <xdr:rowOff>123825</xdr:rowOff>
    </xdr:from>
    <xdr:to>
      <xdr:col>8</xdr:col>
      <xdr:colOff>9525</xdr:colOff>
      <xdr:row>6</xdr:row>
      <xdr:rowOff>104775</xdr:rowOff>
    </xdr:to>
    <xdr:sp macro="" textlink="">
      <xdr:nvSpPr>
        <xdr:cNvPr id="2068" name="Line 20"/>
        <xdr:cNvSpPr>
          <a:spLocks noChangeShapeType="1"/>
        </xdr:cNvSpPr>
      </xdr:nvSpPr>
      <xdr:spPr bwMode="auto">
        <a:xfrm flipV="1">
          <a:off x="4429125" y="285750"/>
          <a:ext cx="0" cy="10382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1</xdr:row>
      <xdr:rowOff>95250</xdr:rowOff>
    </xdr:from>
    <xdr:to>
      <xdr:col>10</xdr:col>
      <xdr:colOff>9525</xdr:colOff>
      <xdr:row>6</xdr:row>
      <xdr:rowOff>104775</xdr:rowOff>
    </xdr:to>
    <xdr:sp macro="" textlink="">
      <xdr:nvSpPr>
        <xdr:cNvPr id="2069" name="Line 21"/>
        <xdr:cNvSpPr>
          <a:spLocks noChangeShapeType="1"/>
        </xdr:cNvSpPr>
      </xdr:nvSpPr>
      <xdr:spPr bwMode="auto">
        <a:xfrm flipV="1">
          <a:off x="5695950" y="257175"/>
          <a:ext cx="0" cy="106680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2</xdr:row>
      <xdr:rowOff>0</xdr:rowOff>
    </xdr:from>
    <xdr:to>
      <xdr:col>10</xdr:col>
      <xdr:colOff>47625</xdr:colOff>
      <xdr:row>2</xdr:row>
      <xdr:rowOff>0</xdr:rowOff>
    </xdr:to>
    <xdr:sp macro="" textlink="">
      <xdr:nvSpPr>
        <xdr:cNvPr id="2070" name="Line 22"/>
        <xdr:cNvSpPr>
          <a:spLocks noChangeShapeType="1"/>
        </xdr:cNvSpPr>
      </xdr:nvSpPr>
      <xdr:spPr bwMode="auto">
        <a:xfrm>
          <a:off x="4419600" y="361950"/>
          <a:ext cx="13144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257175</xdr:colOff>
      <xdr:row>6</xdr:row>
      <xdr:rowOff>152400</xdr:rowOff>
    </xdr:from>
    <xdr:to>
      <xdr:col>8</xdr:col>
      <xdr:colOff>371475</xdr:colOff>
      <xdr:row>7</xdr:row>
      <xdr:rowOff>66675</xdr:rowOff>
    </xdr:to>
    <xdr:sp macro="" textlink="">
      <xdr:nvSpPr>
        <xdr:cNvPr id="2071" name="Rectangle 23"/>
        <xdr:cNvSpPr>
          <a:spLocks noChangeArrowheads="1"/>
        </xdr:cNvSpPr>
      </xdr:nvSpPr>
      <xdr:spPr bwMode="auto">
        <a:xfrm>
          <a:off x="4676775" y="1371600"/>
          <a:ext cx="114300" cy="762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276225</xdr:colOff>
      <xdr:row>6</xdr:row>
      <xdr:rowOff>152400</xdr:rowOff>
    </xdr:from>
    <xdr:to>
      <xdr:col>9</xdr:col>
      <xdr:colOff>361950</xdr:colOff>
      <xdr:row>7</xdr:row>
      <xdr:rowOff>76200</xdr:rowOff>
    </xdr:to>
    <xdr:sp macro="" textlink="">
      <xdr:nvSpPr>
        <xdr:cNvPr id="2072" name="Rectangle 24"/>
        <xdr:cNvSpPr>
          <a:spLocks noChangeArrowheads="1"/>
        </xdr:cNvSpPr>
      </xdr:nvSpPr>
      <xdr:spPr bwMode="auto">
        <a:xfrm>
          <a:off x="5324475" y="1371600"/>
          <a:ext cx="85725" cy="85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314325</xdr:colOff>
      <xdr:row>2</xdr:row>
      <xdr:rowOff>247650</xdr:rowOff>
    </xdr:from>
    <xdr:to>
      <xdr:col>8</xdr:col>
      <xdr:colOff>314325</xdr:colOff>
      <xdr:row>8</xdr:row>
      <xdr:rowOff>0</xdr:rowOff>
    </xdr:to>
    <xdr:sp macro="" textlink="">
      <xdr:nvSpPr>
        <xdr:cNvPr id="2073" name="Line 25"/>
        <xdr:cNvSpPr>
          <a:spLocks noChangeShapeType="1"/>
        </xdr:cNvSpPr>
      </xdr:nvSpPr>
      <xdr:spPr bwMode="auto">
        <a:xfrm flipV="1">
          <a:off x="4733925" y="609600"/>
          <a:ext cx="0" cy="9334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lgDashDot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323850</xdr:colOff>
      <xdr:row>2</xdr:row>
      <xdr:rowOff>266700</xdr:rowOff>
    </xdr:from>
    <xdr:to>
      <xdr:col>9</xdr:col>
      <xdr:colOff>333375</xdr:colOff>
      <xdr:row>8</xdr:row>
      <xdr:rowOff>0</xdr:rowOff>
    </xdr:to>
    <xdr:sp macro="" textlink="">
      <xdr:nvSpPr>
        <xdr:cNvPr id="2074" name="Line 26"/>
        <xdr:cNvSpPr>
          <a:spLocks noChangeShapeType="1"/>
        </xdr:cNvSpPr>
      </xdr:nvSpPr>
      <xdr:spPr bwMode="auto">
        <a:xfrm flipH="1" flipV="1">
          <a:off x="5372100" y="628650"/>
          <a:ext cx="9525" cy="91440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lgDashDot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304800</xdr:colOff>
      <xdr:row>2</xdr:row>
      <xdr:rowOff>276225</xdr:rowOff>
    </xdr:from>
    <xdr:to>
      <xdr:col>9</xdr:col>
      <xdr:colOff>333375</xdr:colOff>
      <xdr:row>2</xdr:row>
      <xdr:rowOff>276225</xdr:rowOff>
    </xdr:to>
    <xdr:sp macro="" textlink="">
      <xdr:nvSpPr>
        <xdr:cNvPr id="2075" name="Line 27"/>
        <xdr:cNvSpPr>
          <a:spLocks noChangeShapeType="1"/>
        </xdr:cNvSpPr>
      </xdr:nvSpPr>
      <xdr:spPr bwMode="auto">
        <a:xfrm>
          <a:off x="4724400" y="638175"/>
          <a:ext cx="65722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419100</xdr:colOff>
      <xdr:row>7</xdr:row>
      <xdr:rowOff>0</xdr:rowOff>
    </xdr:from>
    <xdr:to>
      <xdr:col>7</xdr:col>
      <xdr:colOff>571500</xdr:colOff>
      <xdr:row>7</xdr:row>
      <xdr:rowOff>0</xdr:rowOff>
    </xdr:to>
    <xdr:sp macro="" textlink="">
      <xdr:nvSpPr>
        <xdr:cNvPr id="2076" name="Line 28"/>
        <xdr:cNvSpPr>
          <a:spLocks noChangeShapeType="1"/>
        </xdr:cNvSpPr>
      </xdr:nvSpPr>
      <xdr:spPr bwMode="auto">
        <a:xfrm flipH="1">
          <a:off x="3619500" y="1381125"/>
          <a:ext cx="7620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457200</xdr:colOff>
      <xdr:row>14</xdr:row>
      <xdr:rowOff>152400</xdr:rowOff>
    </xdr:from>
    <xdr:to>
      <xdr:col>7</xdr:col>
      <xdr:colOff>590550</xdr:colOff>
      <xdr:row>14</xdr:row>
      <xdr:rowOff>152400</xdr:rowOff>
    </xdr:to>
    <xdr:sp macro="" textlink="">
      <xdr:nvSpPr>
        <xdr:cNvPr id="2077" name="Line 29"/>
        <xdr:cNvSpPr>
          <a:spLocks noChangeShapeType="1"/>
        </xdr:cNvSpPr>
      </xdr:nvSpPr>
      <xdr:spPr bwMode="auto">
        <a:xfrm flipH="1">
          <a:off x="3657600" y="2819400"/>
          <a:ext cx="7429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514350</xdr:colOff>
      <xdr:row>6</xdr:row>
      <xdr:rowOff>152400</xdr:rowOff>
    </xdr:from>
    <xdr:to>
      <xdr:col>6</xdr:col>
      <xdr:colOff>514350</xdr:colOff>
      <xdr:row>14</xdr:row>
      <xdr:rowOff>142875</xdr:rowOff>
    </xdr:to>
    <xdr:sp macro="" textlink="">
      <xdr:nvSpPr>
        <xdr:cNvPr id="2078" name="Line 30"/>
        <xdr:cNvSpPr>
          <a:spLocks noChangeShapeType="1"/>
        </xdr:cNvSpPr>
      </xdr:nvSpPr>
      <xdr:spPr bwMode="auto">
        <a:xfrm flipV="1">
          <a:off x="3714750" y="1371600"/>
          <a:ext cx="0" cy="143827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180975</xdr:colOff>
      <xdr:row>12</xdr:row>
      <xdr:rowOff>85725</xdr:rowOff>
    </xdr:from>
    <xdr:to>
      <xdr:col>8</xdr:col>
      <xdr:colOff>561975</xdr:colOff>
      <xdr:row>12</xdr:row>
      <xdr:rowOff>85725</xdr:rowOff>
    </xdr:to>
    <xdr:sp macro="" textlink="">
      <xdr:nvSpPr>
        <xdr:cNvPr id="2079" name="Line 31"/>
        <xdr:cNvSpPr>
          <a:spLocks noChangeShapeType="1"/>
        </xdr:cNvSpPr>
      </xdr:nvSpPr>
      <xdr:spPr bwMode="auto">
        <a:xfrm>
          <a:off x="4600575" y="2390775"/>
          <a:ext cx="3810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</xdr:colOff>
      <xdr:row>12</xdr:row>
      <xdr:rowOff>85725</xdr:rowOff>
    </xdr:from>
    <xdr:to>
      <xdr:col>9</xdr:col>
      <xdr:colOff>314325</xdr:colOff>
      <xdr:row>12</xdr:row>
      <xdr:rowOff>85725</xdr:rowOff>
    </xdr:to>
    <xdr:sp macro="" textlink="">
      <xdr:nvSpPr>
        <xdr:cNvPr id="2080" name="Line 32"/>
        <xdr:cNvSpPr>
          <a:spLocks noChangeShapeType="1"/>
        </xdr:cNvSpPr>
      </xdr:nvSpPr>
      <xdr:spPr bwMode="auto">
        <a:xfrm>
          <a:off x="5076825" y="2390775"/>
          <a:ext cx="2857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180975</xdr:colOff>
      <xdr:row>7</xdr:row>
      <xdr:rowOff>76200</xdr:rowOff>
    </xdr:from>
    <xdr:to>
      <xdr:col>7</xdr:col>
      <xdr:colOff>600075</xdr:colOff>
      <xdr:row>7</xdr:row>
      <xdr:rowOff>76200</xdr:rowOff>
    </xdr:to>
    <xdr:sp macro="" textlink="">
      <xdr:nvSpPr>
        <xdr:cNvPr id="2081" name="Line 33"/>
        <xdr:cNvSpPr>
          <a:spLocks noChangeShapeType="1"/>
        </xdr:cNvSpPr>
      </xdr:nvSpPr>
      <xdr:spPr bwMode="auto">
        <a:xfrm flipH="1">
          <a:off x="3990975" y="1457325"/>
          <a:ext cx="4191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238125</xdr:colOff>
      <xdr:row>7</xdr:row>
      <xdr:rowOff>66675</xdr:rowOff>
    </xdr:from>
    <xdr:to>
      <xdr:col>7</xdr:col>
      <xdr:colOff>238125</xdr:colOff>
      <xdr:row>8</xdr:row>
      <xdr:rowOff>133350</xdr:rowOff>
    </xdr:to>
    <xdr:sp macro="" textlink="">
      <xdr:nvSpPr>
        <xdr:cNvPr id="2082" name="Line 34"/>
        <xdr:cNvSpPr>
          <a:spLocks noChangeShapeType="1"/>
        </xdr:cNvSpPr>
      </xdr:nvSpPr>
      <xdr:spPr bwMode="auto">
        <a:xfrm>
          <a:off x="4048125" y="1447800"/>
          <a:ext cx="0" cy="22860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228600</xdr:colOff>
      <xdr:row>5</xdr:row>
      <xdr:rowOff>76200</xdr:rowOff>
    </xdr:from>
    <xdr:to>
      <xdr:col>7</xdr:col>
      <xdr:colOff>228600</xdr:colOff>
      <xdr:row>6</xdr:row>
      <xdr:rowOff>142875</xdr:rowOff>
    </xdr:to>
    <xdr:sp macro="" textlink="">
      <xdr:nvSpPr>
        <xdr:cNvPr id="2083" name="Line 35"/>
        <xdr:cNvSpPr>
          <a:spLocks noChangeShapeType="1"/>
        </xdr:cNvSpPr>
      </xdr:nvSpPr>
      <xdr:spPr bwMode="auto">
        <a:xfrm flipV="1">
          <a:off x="4038600" y="1095375"/>
          <a:ext cx="0" cy="26670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5</xdr:row>
      <xdr:rowOff>85725</xdr:rowOff>
    </xdr:from>
    <xdr:to>
      <xdr:col>7</xdr:col>
      <xdr:colOff>219075</xdr:colOff>
      <xdr:row>5</xdr:row>
      <xdr:rowOff>85725</xdr:rowOff>
    </xdr:to>
    <xdr:sp macro="" textlink="">
      <xdr:nvSpPr>
        <xdr:cNvPr id="2084" name="Line 36"/>
        <xdr:cNvSpPr>
          <a:spLocks noChangeShapeType="1"/>
        </xdr:cNvSpPr>
      </xdr:nvSpPr>
      <xdr:spPr bwMode="auto">
        <a:xfrm>
          <a:off x="3514725" y="1104900"/>
          <a:ext cx="5143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590550</xdr:colOff>
      <xdr:row>4</xdr:row>
      <xdr:rowOff>95250</xdr:rowOff>
    </xdr:from>
    <xdr:to>
      <xdr:col>8</xdr:col>
      <xdr:colOff>600075</xdr:colOff>
      <xdr:row>7</xdr:row>
      <xdr:rowOff>123825</xdr:rowOff>
    </xdr:to>
    <xdr:sp macro="" textlink="">
      <xdr:nvSpPr>
        <xdr:cNvPr id="2085" name="Line 37"/>
        <xdr:cNvSpPr>
          <a:spLocks noChangeShapeType="1"/>
        </xdr:cNvSpPr>
      </xdr:nvSpPr>
      <xdr:spPr bwMode="auto">
        <a:xfrm flipH="1" flipV="1">
          <a:off x="5010150" y="914400"/>
          <a:ext cx="9525" cy="5905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prstDash val="lgDashDot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57150</xdr:colOff>
      <xdr:row>4</xdr:row>
      <xdr:rowOff>95250</xdr:rowOff>
    </xdr:from>
    <xdr:to>
      <xdr:col>9</xdr:col>
      <xdr:colOff>57150</xdr:colOff>
      <xdr:row>7</xdr:row>
      <xdr:rowOff>76200</xdr:rowOff>
    </xdr:to>
    <xdr:sp macro="" textlink="">
      <xdr:nvSpPr>
        <xdr:cNvPr id="2086" name="Line 38"/>
        <xdr:cNvSpPr>
          <a:spLocks noChangeShapeType="1"/>
        </xdr:cNvSpPr>
      </xdr:nvSpPr>
      <xdr:spPr bwMode="auto">
        <a:xfrm flipV="1">
          <a:off x="5105400" y="914400"/>
          <a:ext cx="0" cy="5429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361950</xdr:colOff>
      <xdr:row>5</xdr:row>
      <xdr:rowOff>19050</xdr:rowOff>
    </xdr:from>
    <xdr:to>
      <xdr:col>8</xdr:col>
      <xdr:colOff>581025</xdr:colOff>
      <xdr:row>5</xdr:row>
      <xdr:rowOff>19050</xdr:rowOff>
    </xdr:to>
    <xdr:sp macro="" textlink="">
      <xdr:nvSpPr>
        <xdr:cNvPr id="2087" name="Line 39"/>
        <xdr:cNvSpPr>
          <a:spLocks noChangeShapeType="1"/>
        </xdr:cNvSpPr>
      </xdr:nvSpPr>
      <xdr:spPr bwMode="auto">
        <a:xfrm flipH="1">
          <a:off x="4781550" y="1038225"/>
          <a:ext cx="2190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66675</xdr:colOff>
      <xdr:row>5</xdr:row>
      <xdr:rowOff>19050</xdr:rowOff>
    </xdr:from>
    <xdr:to>
      <xdr:col>9</xdr:col>
      <xdr:colOff>257175</xdr:colOff>
      <xdr:row>5</xdr:row>
      <xdr:rowOff>19050</xdr:rowOff>
    </xdr:to>
    <xdr:sp macro="" textlink="">
      <xdr:nvSpPr>
        <xdr:cNvPr id="2088" name="Line 40"/>
        <xdr:cNvSpPr>
          <a:spLocks noChangeShapeType="1"/>
        </xdr:cNvSpPr>
      </xdr:nvSpPr>
      <xdr:spPr bwMode="auto">
        <a:xfrm>
          <a:off x="5114925" y="1038225"/>
          <a:ext cx="1905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95250</xdr:colOff>
      <xdr:row>6</xdr:row>
      <xdr:rowOff>152400</xdr:rowOff>
    </xdr:from>
    <xdr:to>
      <xdr:col>11</xdr:col>
      <xdr:colOff>314325</xdr:colOff>
      <xdr:row>7</xdr:row>
      <xdr:rowOff>0</xdr:rowOff>
    </xdr:to>
    <xdr:sp macro="" textlink="">
      <xdr:nvSpPr>
        <xdr:cNvPr id="2089" name="Line 41"/>
        <xdr:cNvSpPr>
          <a:spLocks noChangeShapeType="1"/>
        </xdr:cNvSpPr>
      </xdr:nvSpPr>
      <xdr:spPr bwMode="auto">
        <a:xfrm flipV="1">
          <a:off x="5781675" y="1371600"/>
          <a:ext cx="1076325" cy="95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76200</xdr:colOff>
      <xdr:row>7</xdr:row>
      <xdr:rowOff>133350</xdr:rowOff>
    </xdr:from>
    <xdr:to>
      <xdr:col>10</xdr:col>
      <xdr:colOff>571500</xdr:colOff>
      <xdr:row>7</xdr:row>
      <xdr:rowOff>133350</xdr:rowOff>
    </xdr:to>
    <xdr:sp macro="" textlink="">
      <xdr:nvSpPr>
        <xdr:cNvPr id="2090" name="Line 42"/>
        <xdr:cNvSpPr>
          <a:spLocks noChangeShapeType="1"/>
        </xdr:cNvSpPr>
      </xdr:nvSpPr>
      <xdr:spPr bwMode="auto">
        <a:xfrm>
          <a:off x="5124450" y="1514475"/>
          <a:ext cx="11334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514350</xdr:colOff>
      <xdr:row>5</xdr:row>
      <xdr:rowOff>114300</xdr:rowOff>
    </xdr:from>
    <xdr:to>
      <xdr:col>10</xdr:col>
      <xdr:colOff>514350</xdr:colOff>
      <xdr:row>6</xdr:row>
      <xdr:rowOff>152400</xdr:rowOff>
    </xdr:to>
    <xdr:sp macro="" textlink="">
      <xdr:nvSpPr>
        <xdr:cNvPr id="2091" name="Line 43"/>
        <xdr:cNvSpPr>
          <a:spLocks noChangeShapeType="1"/>
        </xdr:cNvSpPr>
      </xdr:nvSpPr>
      <xdr:spPr bwMode="auto">
        <a:xfrm flipV="1">
          <a:off x="6200775" y="1133475"/>
          <a:ext cx="0" cy="2381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523875</xdr:colOff>
      <xdr:row>7</xdr:row>
      <xdr:rowOff>133350</xdr:rowOff>
    </xdr:from>
    <xdr:to>
      <xdr:col>10</xdr:col>
      <xdr:colOff>523875</xdr:colOff>
      <xdr:row>9</xdr:row>
      <xdr:rowOff>0</xdr:rowOff>
    </xdr:to>
    <xdr:sp macro="" textlink="">
      <xdr:nvSpPr>
        <xdr:cNvPr id="2092" name="Line 44"/>
        <xdr:cNvSpPr>
          <a:spLocks noChangeShapeType="1"/>
        </xdr:cNvSpPr>
      </xdr:nvSpPr>
      <xdr:spPr bwMode="auto">
        <a:xfrm>
          <a:off x="6210300" y="1514475"/>
          <a:ext cx="0" cy="22860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523875</xdr:colOff>
      <xdr:row>5</xdr:row>
      <xdr:rowOff>104775</xdr:rowOff>
    </xdr:from>
    <xdr:to>
      <xdr:col>11</xdr:col>
      <xdr:colOff>66675</xdr:colOff>
      <xdr:row>5</xdr:row>
      <xdr:rowOff>104775</xdr:rowOff>
    </xdr:to>
    <xdr:sp macro="" textlink="">
      <xdr:nvSpPr>
        <xdr:cNvPr id="2093" name="Line 45"/>
        <xdr:cNvSpPr>
          <a:spLocks noChangeShapeType="1"/>
        </xdr:cNvSpPr>
      </xdr:nvSpPr>
      <xdr:spPr bwMode="auto">
        <a:xfrm>
          <a:off x="6210300" y="1123950"/>
          <a:ext cx="4000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457200</xdr:colOff>
      <xdr:row>9</xdr:row>
      <xdr:rowOff>152400</xdr:rowOff>
    </xdr:from>
    <xdr:to>
      <xdr:col>11</xdr:col>
      <xdr:colOff>314325</xdr:colOff>
      <xdr:row>9</xdr:row>
      <xdr:rowOff>152400</xdr:rowOff>
    </xdr:to>
    <xdr:sp macro="" textlink="">
      <xdr:nvSpPr>
        <xdr:cNvPr id="2094" name="Line 46"/>
        <xdr:cNvSpPr>
          <a:spLocks noChangeShapeType="1"/>
        </xdr:cNvSpPr>
      </xdr:nvSpPr>
      <xdr:spPr bwMode="auto">
        <a:xfrm>
          <a:off x="4876800" y="1895475"/>
          <a:ext cx="19812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lgDashDot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571500</xdr:colOff>
      <xdr:row>9</xdr:row>
      <xdr:rowOff>95250</xdr:rowOff>
    </xdr:from>
    <xdr:to>
      <xdr:col>9</xdr:col>
      <xdr:colOff>38100</xdr:colOff>
      <xdr:row>10</xdr:row>
      <xdr:rowOff>66675</xdr:rowOff>
    </xdr:to>
    <xdr:sp macro="" textlink="">
      <xdr:nvSpPr>
        <xdr:cNvPr id="2095" name="Rectangle 47"/>
        <xdr:cNvSpPr>
          <a:spLocks noChangeArrowheads="1"/>
        </xdr:cNvSpPr>
      </xdr:nvSpPr>
      <xdr:spPr bwMode="auto">
        <a:xfrm>
          <a:off x="4991100" y="1838325"/>
          <a:ext cx="95250" cy="133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219075</xdr:colOff>
      <xdr:row>9</xdr:row>
      <xdr:rowOff>28575</xdr:rowOff>
    </xdr:from>
    <xdr:to>
      <xdr:col>11</xdr:col>
      <xdr:colOff>219075</xdr:colOff>
      <xdr:row>9</xdr:row>
      <xdr:rowOff>152400</xdr:rowOff>
    </xdr:to>
    <xdr:sp macro="" textlink="">
      <xdr:nvSpPr>
        <xdr:cNvPr id="2096" name="Line 48"/>
        <xdr:cNvSpPr>
          <a:spLocks noChangeShapeType="1"/>
        </xdr:cNvSpPr>
      </xdr:nvSpPr>
      <xdr:spPr bwMode="auto">
        <a:xfrm flipV="1">
          <a:off x="6762750" y="1771650"/>
          <a:ext cx="0" cy="1238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219075</xdr:colOff>
      <xdr:row>7</xdr:row>
      <xdr:rowOff>0</xdr:rowOff>
    </xdr:from>
    <xdr:to>
      <xdr:col>11</xdr:col>
      <xdr:colOff>219075</xdr:colOff>
      <xdr:row>7</xdr:row>
      <xdr:rowOff>133350</xdr:rowOff>
    </xdr:to>
    <xdr:sp macro="" textlink="">
      <xdr:nvSpPr>
        <xdr:cNvPr id="2097" name="Line 49"/>
        <xdr:cNvSpPr>
          <a:spLocks noChangeShapeType="1"/>
        </xdr:cNvSpPr>
      </xdr:nvSpPr>
      <xdr:spPr bwMode="auto">
        <a:xfrm>
          <a:off x="6762750" y="1381125"/>
          <a:ext cx="0" cy="1333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19050</xdr:colOff>
      <xdr:row>7</xdr:row>
      <xdr:rowOff>0</xdr:rowOff>
    </xdr:from>
    <xdr:to>
      <xdr:col>9</xdr:col>
      <xdr:colOff>9525</xdr:colOff>
      <xdr:row>7</xdr:row>
      <xdr:rowOff>0</xdr:rowOff>
    </xdr:to>
    <xdr:sp macro="" textlink="">
      <xdr:nvSpPr>
        <xdr:cNvPr id="4098" name="Line 2"/>
        <xdr:cNvSpPr>
          <a:spLocks noChangeShapeType="1"/>
        </xdr:cNvSpPr>
      </xdr:nvSpPr>
      <xdr:spPr bwMode="auto">
        <a:xfrm>
          <a:off x="3810000" y="1381125"/>
          <a:ext cx="115252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28575</xdr:colOff>
      <xdr:row>7</xdr:row>
      <xdr:rowOff>19050</xdr:rowOff>
    </xdr:from>
    <xdr:to>
      <xdr:col>7</xdr:col>
      <xdr:colOff>28575</xdr:colOff>
      <xdr:row>7</xdr:row>
      <xdr:rowOff>66675</xdr:rowOff>
    </xdr:to>
    <xdr:sp macro="" textlink="">
      <xdr:nvSpPr>
        <xdr:cNvPr id="4099" name="Line 3"/>
        <xdr:cNvSpPr>
          <a:spLocks noChangeShapeType="1"/>
        </xdr:cNvSpPr>
      </xdr:nvSpPr>
      <xdr:spPr bwMode="auto">
        <a:xfrm>
          <a:off x="3819525" y="1400175"/>
          <a:ext cx="0" cy="476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6</xdr:row>
      <xdr:rowOff>152400</xdr:rowOff>
    </xdr:from>
    <xdr:to>
      <xdr:col>9</xdr:col>
      <xdr:colOff>19050</xdr:colOff>
      <xdr:row>7</xdr:row>
      <xdr:rowOff>66675</xdr:rowOff>
    </xdr:to>
    <xdr:sp macro="" textlink="">
      <xdr:nvSpPr>
        <xdr:cNvPr id="4100" name="Line 4"/>
        <xdr:cNvSpPr>
          <a:spLocks noChangeShapeType="1"/>
        </xdr:cNvSpPr>
      </xdr:nvSpPr>
      <xdr:spPr bwMode="auto">
        <a:xfrm>
          <a:off x="4962525" y="1371600"/>
          <a:ext cx="9525" cy="7620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38100</xdr:colOff>
      <xdr:row>7</xdr:row>
      <xdr:rowOff>66675</xdr:rowOff>
    </xdr:from>
    <xdr:to>
      <xdr:col>7</xdr:col>
      <xdr:colOff>561975</xdr:colOff>
      <xdr:row>7</xdr:row>
      <xdr:rowOff>123825</xdr:rowOff>
    </xdr:to>
    <xdr:sp macro="" textlink="">
      <xdr:nvSpPr>
        <xdr:cNvPr id="4101" name="Line 5"/>
        <xdr:cNvSpPr>
          <a:spLocks noChangeShapeType="1"/>
        </xdr:cNvSpPr>
      </xdr:nvSpPr>
      <xdr:spPr bwMode="auto">
        <a:xfrm>
          <a:off x="3829050" y="1447800"/>
          <a:ext cx="523875" cy="5715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38100</xdr:colOff>
      <xdr:row>7</xdr:row>
      <xdr:rowOff>66675</xdr:rowOff>
    </xdr:from>
    <xdr:to>
      <xdr:col>9</xdr:col>
      <xdr:colOff>19050</xdr:colOff>
      <xdr:row>7</xdr:row>
      <xdr:rowOff>114300</xdr:rowOff>
    </xdr:to>
    <xdr:sp macro="" textlink="">
      <xdr:nvSpPr>
        <xdr:cNvPr id="4102" name="Line 6"/>
        <xdr:cNvSpPr>
          <a:spLocks noChangeShapeType="1"/>
        </xdr:cNvSpPr>
      </xdr:nvSpPr>
      <xdr:spPr bwMode="auto">
        <a:xfrm flipH="1">
          <a:off x="4438650" y="1447800"/>
          <a:ext cx="533400" cy="476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19050</xdr:colOff>
      <xdr:row>14</xdr:row>
      <xdr:rowOff>142875</xdr:rowOff>
    </xdr:from>
    <xdr:to>
      <xdr:col>9</xdr:col>
      <xdr:colOff>19050</xdr:colOff>
      <xdr:row>14</xdr:row>
      <xdr:rowOff>142875</xdr:rowOff>
    </xdr:to>
    <xdr:sp macro="" textlink="">
      <xdr:nvSpPr>
        <xdr:cNvPr id="4103" name="Line 7"/>
        <xdr:cNvSpPr>
          <a:spLocks noChangeShapeType="1"/>
        </xdr:cNvSpPr>
      </xdr:nvSpPr>
      <xdr:spPr bwMode="auto">
        <a:xfrm>
          <a:off x="3810000" y="2847975"/>
          <a:ext cx="1162050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581025</xdr:colOff>
      <xdr:row>7</xdr:row>
      <xdr:rowOff>114300</xdr:rowOff>
    </xdr:from>
    <xdr:to>
      <xdr:col>7</xdr:col>
      <xdr:colOff>581025</xdr:colOff>
      <xdr:row>14</xdr:row>
      <xdr:rowOff>28575</xdr:rowOff>
    </xdr:to>
    <xdr:sp macro="" textlink="">
      <xdr:nvSpPr>
        <xdr:cNvPr id="4104" name="Line 8"/>
        <xdr:cNvSpPr>
          <a:spLocks noChangeShapeType="1"/>
        </xdr:cNvSpPr>
      </xdr:nvSpPr>
      <xdr:spPr bwMode="auto">
        <a:xfrm>
          <a:off x="4371975" y="1495425"/>
          <a:ext cx="0" cy="123825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28575</xdr:colOff>
      <xdr:row>14</xdr:row>
      <xdr:rowOff>9525</xdr:rowOff>
    </xdr:from>
    <xdr:to>
      <xdr:col>7</xdr:col>
      <xdr:colOff>581025</xdr:colOff>
      <xdr:row>14</xdr:row>
      <xdr:rowOff>85725</xdr:rowOff>
    </xdr:to>
    <xdr:sp macro="" textlink="">
      <xdr:nvSpPr>
        <xdr:cNvPr id="4105" name="Line 9"/>
        <xdr:cNvSpPr>
          <a:spLocks noChangeShapeType="1"/>
        </xdr:cNvSpPr>
      </xdr:nvSpPr>
      <xdr:spPr bwMode="auto">
        <a:xfrm flipH="1">
          <a:off x="3819525" y="2714625"/>
          <a:ext cx="552450" cy="7620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19050</xdr:colOff>
      <xdr:row>14</xdr:row>
      <xdr:rowOff>76200</xdr:rowOff>
    </xdr:from>
    <xdr:to>
      <xdr:col>7</xdr:col>
      <xdr:colOff>28575</xdr:colOff>
      <xdr:row>15</xdr:row>
      <xdr:rowOff>0</xdr:rowOff>
    </xdr:to>
    <xdr:sp macro="" textlink="">
      <xdr:nvSpPr>
        <xdr:cNvPr id="4106" name="Line 10"/>
        <xdr:cNvSpPr>
          <a:spLocks noChangeShapeType="1"/>
        </xdr:cNvSpPr>
      </xdr:nvSpPr>
      <xdr:spPr bwMode="auto">
        <a:xfrm flipH="1">
          <a:off x="3810000" y="2781300"/>
          <a:ext cx="9525" cy="857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9525</xdr:colOff>
      <xdr:row>7</xdr:row>
      <xdr:rowOff>114300</xdr:rowOff>
    </xdr:from>
    <xdr:to>
      <xdr:col>8</xdr:col>
      <xdr:colOff>9525</xdr:colOff>
      <xdr:row>14</xdr:row>
      <xdr:rowOff>19050</xdr:rowOff>
    </xdr:to>
    <xdr:sp macro="" textlink="">
      <xdr:nvSpPr>
        <xdr:cNvPr id="4108" name="Line 12"/>
        <xdr:cNvSpPr>
          <a:spLocks noChangeShapeType="1"/>
        </xdr:cNvSpPr>
      </xdr:nvSpPr>
      <xdr:spPr bwMode="auto">
        <a:xfrm>
          <a:off x="4410075" y="1495425"/>
          <a:ext cx="0" cy="12287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</xdr:colOff>
      <xdr:row>14</xdr:row>
      <xdr:rowOff>9525</xdr:rowOff>
    </xdr:from>
    <xdr:to>
      <xdr:col>9</xdr:col>
      <xdr:colOff>9525</xdr:colOff>
      <xdr:row>14</xdr:row>
      <xdr:rowOff>66675</xdr:rowOff>
    </xdr:to>
    <xdr:sp macro="" textlink="">
      <xdr:nvSpPr>
        <xdr:cNvPr id="4110" name="Line 14"/>
        <xdr:cNvSpPr>
          <a:spLocks noChangeShapeType="1"/>
        </xdr:cNvSpPr>
      </xdr:nvSpPr>
      <xdr:spPr bwMode="auto">
        <a:xfrm>
          <a:off x="4419600" y="2714625"/>
          <a:ext cx="542925" cy="5715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14</xdr:row>
      <xdr:rowOff>66675</xdr:rowOff>
    </xdr:from>
    <xdr:to>
      <xdr:col>9</xdr:col>
      <xdr:colOff>9525</xdr:colOff>
      <xdr:row>14</xdr:row>
      <xdr:rowOff>142875</xdr:rowOff>
    </xdr:to>
    <xdr:sp macro="" textlink="">
      <xdr:nvSpPr>
        <xdr:cNvPr id="4111" name="Line 15"/>
        <xdr:cNvSpPr>
          <a:spLocks noChangeShapeType="1"/>
        </xdr:cNvSpPr>
      </xdr:nvSpPr>
      <xdr:spPr bwMode="auto">
        <a:xfrm flipH="1">
          <a:off x="4953000" y="2771775"/>
          <a:ext cx="9525" cy="7620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9525</xdr:colOff>
      <xdr:row>1</xdr:row>
      <xdr:rowOff>123825</xdr:rowOff>
    </xdr:from>
    <xdr:to>
      <xdr:col>7</xdr:col>
      <xdr:colOff>9525</xdr:colOff>
      <xdr:row>6</xdr:row>
      <xdr:rowOff>104775</xdr:rowOff>
    </xdr:to>
    <xdr:sp macro="" textlink="">
      <xdr:nvSpPr>
        <xdr:cNvPr id="4112" name="Line 16"/>
        <xdr:cNvSpPr>
          <a:spLocks noChangeShapeType="1"/>
        </xdr:cNvSpPr>
      </xdr:nvSpPr>
      <xdr:spPr bwMode="auto">
        <a:xfrm flipV="1">
          <a:off x="3800475" y="285750"/>
          <a:ext cx="0" cy="10382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</xdr:row>
      <xdr:rowOff>95250</xdr:rowOff>
    </xdr:from>
    <xdr:to>
      <xdr:col>9</xdr:col>
      <xdr:colOff>9525</xdr:colOff>
      <xdr:row>6</xdr:row>
      <xdr:rowOff>104775</xdr:rowOff>
    </xdr:to>
    <xdr:sp macro="" textlink="">
      <xdr:nvSpPr>
        <xdr:cNvPr id="4113" name="Line 17"/>
        <xdr:cNvSpPr>
          <a:spLocks noChangeShapeType="1"/>
        </xdr:cNvSpPr>
      </xdr:nvSpPr>
      <xdr:spPr bwMode="auto">
        <a:xfrm flipV="1">
          <a:off x="4962525" y="257175"/>
          <a:ext cx="0" cy="106680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2</xdr:row>
      <xdr:rowOff>9525</xdr:rowOff>
    </xdr:from>
    <xdr:to>
      <xdr:col>9</xdr:col>
      <xdr:colOff>47625</xdr:colOff>
      <xdr:row>2</xdr:row>
      <xdr:rowOff>9525</xdr:rowOff>
    </xdr:to>
    <xdr:sp macro="" textlink="">
      <xdr:nvSpPr>
        <xdr:cNvPr id="4114" name="Line 18"/>
        <xdr:cNvSpPr>
          <a:spLocks noChangeShapeType="1"/>
        </xdr:cNvSpPr>
      </xdr:nvSpPr>
      <xdr:spPr bwMode="auto">
        <a:xfrm>
          <a:off x="3790950" y="371475"/>
          <a:ext cx="12096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257175</xdr:colOff>
      <xdr:row>6</xdr:row>
      <xdr:rowOff>152400</xdr:rowOff>
    </xdr:from>
    <xdr:to>
      <xdr:col>7</xdr:col>
      <xdr:colOff>371475</xdr:colOff>
      <xdr:row>7</xdr:row>
      <xdr:rowOff>66675</xdr:rowOff>
    </xdr:to>
    <xdr:sp macro="" textlink="">
      <xdr:nvSpPr>
        <xdr:cNvPr id="4115" name="Rectangle 19"/>
        <xdr:cNvSpPr>
          <a:spLocks noChangeArrowheads="1"/>
        </xdr:cNvSpPr>
      </xdr:nvSpPr>
      <xdr:spPr bwMode="auto">
        <a:xfrm>
          <a:off x="4048125" y="1371600"/>
          <a:ext cx="114300" cy="762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276225</xdr:colOff>
      <xdr:row>6</xdr:row>
      <xdr:rowOff>152400</xdr:rowOff>
    </xdr:from>
    <xdr:to>
      <xdr:col>8</xdr:col>
      <xdr:colOff>361950</xdr:colOff>
      <xdr:row>7</xdr:row>
      <xdr:rowOff>76200</xdr:rowOff>
    </xdr:to>
    <xdr:sp macro="" textlink="">
      <xdr:nvSpPr>
        <xdr:cNvPr id="4116" name="Rectangle 20"/>
        <xdr:cNvSpPr>
          <a:spLocks noChangeArrowheads="1"/>
        </xdr:cNvSpPr>
      </xdr:nvSpPr>
      <xdr:spPr bwMode="auto">
        <a:xfrm>
          <a:off x="4676775" y="1371600"/>
          <a:ext cx="85725" cy="85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314325</xdr:colOff>
      <xdr:row>2</xdr:row>
      <xdr:rowOff>247650</xdr:rowOff>
    </xdr:from>
    <xdr:to>
      <xdr:col>7</xdr:col>
      <xdr:colOff>314325</xdr:colOff>
      <xdr:row>8</xdr:row>
      <xdr:rowOff>0</xdr:rowOff>
    </xdr:to>
    <xdr:sp macro="" textlink="">
      <xdr:nvSpPr>
        <xdr:cNvPr id="4117" name="Line 21"/>
        <xdr:cNvSpPr>
          <a:spLocks noChangeShapeType="1"/>
        </xdr:cNvSpPr>
      </xdr:nvSpPr>
      <xdr:spPr bwMode="auto">
        <a:xfrm flipV="1">
          <a:off x="4105275" y="609600"/>
          <a:ext cx="0" cy="9334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lgDashDot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323850</xdr:colOff>
      <xdr:row>2</xdr:row>
      <xdr:rowOff>266700</xdr:rowOff>
    </xdr:from>
    <xdr:to>
      <xdr:col>8</xdr:col>
      <xdr:colOff>333375</xdr:colOff>
      <xdr:row>8</xdr:row>
      <xdr:rowOff>0</xdr:rowOff>
    </xdr:to>
    <xdr:sp macro="" textlink="">
      <xdr:nvSpPr>
        <xdr:cNvPr id="4118" name="Line 22"/>
        <xdr:cNvSpPr>
          <a:spLocks noChangeShapeType="1"/>
        </xdr:cNvSpPr>
      </xdr:nvSpPr>
      <xdr:spPr bwMode="auto">
        <a:xfrm flipH="1" flipV="1">
          <a:off x="4724400" y="628650"/>
          <a:ext cx="9525" cy="91440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lgDashDot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304800</xdr:colOff>
      <xdr:row>3</xdr:row>
      <xdr:rowOff>19050</xdr:rowOff>
    </xdr:from>
    <xdr:to>
      <xdr:col>8</xdr:col>
      <xdr:colOff>333375</xdr:colOff>
      <xdr:row>3</xdr:row>
      <xdr:rowOff>19050</xdr:rowOff>
    </xdr:to>
    <xdr:sp macro="" textlink="">
      <xdr:nvSpPr>
        <xdr:cNvPr id="4119" name="Line 23"/>
        <xdr:cNvSpPr>
          <a:spLocks noChangeShapeType="1"/>
        </xdr:cNvSpPr>
      </xdr:nvSpPr>
      <xdr:spPr bwMode="auto">
        <a:xfrm>
          <a:off x="4095750" y="676275"/>
          <a:ext cx="6381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419100</xdr:colOff>
      <xdr:row>7</xdr:row>
      <xdr:rowOff>0</xdr:rowOff>
    </xdr:from>
    <xdr:to>
      <xdr:col>6</xdr:col>
      <xdr:colOff>571500</xdr:colOff>
      <xdr:row>7</xdr:row>
      <xdr:rowOff>0</xdr:rowOff>
    </xdr:to>
    <xdr:sp macro="" textlink="">
      <xdr:nvSpPr>
        <xdr:cNvPr id="4120" name="Line 24"/>
        <xdr:cNvSpPr>
          <a:spLocks noChangeShapeType="1"/>
        </xdr:cNvSpPr>
      </xdr:nvSpPr>
      <xdr:spPr bwMode="auto">
        <a:xfrm flipH="1">
          <a:off x="3048000" y="1381125"/>
          <a:ext cx="7429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457200</xdr:colOff>
      <xdr:row>14</xdr:row>
      <xdr:rowOff>152400</xdr:rowOff>
    </xdr:from>
    <xdr:to>
      <xdr:col>6</xdr:col>
      <xdr:colOff>590550</xdr:colOff>
      <xdr:row>14</xdr:row>
      <xdr:rowOff>152400</xdr:rowOff>
    </xdr:to>
    <xdr:sp macro="" textlink="">
      <xdr:nvSpPr>
        <xdr:cNvPr id="4121" name="Line 25"/>
        <xdr:cNvSpPr>
          <a:spLocks noChangeShapeType="1"/>
        </xdr:cNvSpPr>
      </xdr:nvSpPr>
      <xdr:spPr bwMode="auto">
        <a:xfrm flipH="1">
          <a:off x="3086100" y="2857500"/>
          <a:ext cx="7048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523875</xdr:colOff>
      <xdr:row>6</xdr:row>
      <xdr:rowOff>152400</xdr:rowOff>
    </xdr:from>
    <xdr:to>
      <xdr:col>5</xdr:col>
      <xdr:colOff>523875</xdr:colOff>
      <xdr:row>14</xdr:row>
      <xdr:rowOff>142875</xdr:rowOff>
    </xdr:to>
    <xdr:sp macro="" textlink="">
      <xdr:nvSpPr>
        <xdr:cNvPr id="4122" name="Line 26"/>
        <xdr:cNvSpPr>
          <a:spLocks noChangeShapeType="1"/>
        </xdr:cNvSpPr>
      </xdr:nvSpPr>
      <xdr:spPr bwMode="auto">
        <a:xfrm flipV="1">
          <a:off x="3152775" y="1371600"/>
          <a:ext cx="0" cy="147637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180975</xdr:colOff>
      <xdr:row>12</xdr:row>
      <xdr:rowOff>85725</xdr:rowOff>
    </xdr:from>
    <xdr:to>
      <xdr:col>7</xdr:col>
      <xdr:colOff>561975</xdr:colOff>
      <xdr:row>12</xdr:row>
      <xdr:rowOff>85725</xdr:rowOff>
    </xdr:to>
    <xdr:sp macro="" textlink="">
      <xdr:nvSpPr>
        <xdr:cNvPr id="4123" name="Line 27"/>
        <xdr:cNvSpPr>
          <a:spLocks noChangeShapeType="1"/>
        </xdr:cNvSpPr>
      </xdr:nvSpPr>
      <xdr:spPr bwMode="auto">
        <a:xfrm>
          <a:off x="3971925" y="2390775"/>
          <a:ext cx="3810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28575</xdr:colOff>
      <xdr:row>12</xdr:row>
      <xdr:rowOff>85725</xdr:rowOff>
    </xdr:from>
    <xdr:to>
      <xdr:col>8</xdr:col>
      <xdr:colOff>314325</xdr:colOff>
      <xdr:row>12</xdr:row>
      <xdr:rowOff>85725</xdr:rowOff>
    </xdr:to>
    <xdr:sp macro="" textlink="">
      <xdr:nvSpPr>
        <xdr:cNvPr id="4124" name="Line 28"/>
        <xdr:cNvSpPr>
          <a:spLocks noChangeShapeType="1"/>
        </xdr:cNvSpPr>
      </xdr:nvSpPr>
      <xdr:spPr bwMode="auto">
        <a:xfrm>
          <a:off x="4429125" y="2390775"/>
          <a:ext cx="2857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180975</xdr:colOff>
      <xdr:row>7</xdr:row>
      <xdr:rowOff>114300</xdr:rowOff>
    </xdr:from>
    <xdr:to>
      <xdr:col>7</xdr:col>
      <xdr:colOff>123825</xdr:colOff>
      <xdr:row>7</xdr:row>
      <xdr:rowOff>114300</xdr:rowOff>
    </xdr:to>
    <xdr:sp macro="" textlink="">
      <xdr:nvSpPr>
        <xdr:cNvPr id="4125" name="Line 29"/>
        <xdr:cNvSpPr>
          <a:spLocks noChangeShapeType="1"/>
        </xdr:cNvSpPr>
      </xdr:nvSpPr>
      <xdr:spPr bwMode="auto">
        <a:xfrm flipH="1">
          <a:off x="3429000" y="1495425"/>
          <a:ext cx="4857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228600</xdr:colOff>
      <xdr:row>7</xdr:row>
      <xdr:rowOff>114300</xdr:rowOff>
    </xdr:from>
    <xdr:to>
      <xdr:col>6</xdr:col>
      <xdr:colOff>228600</xdr:colOff>
      <xdr:row>8</xdr:row>
      <xdr:rowOff>180975</xdr:rowOff>
    </xdr:to>
    <xdr:sp macro="" textlink="">
      <xdr:nvSpPr>
        <xdr:cNvPr id="4126" name="Line 30"/>
        <xdr:cNvSpPr>
          <a:spLocks noChangeShapeType="1"/>
        </xdr:cNvSpPr>
      </xdr:nvSpPr>
      <xdr:spPr bwMode="auto">
        <a:xfrm>
          <a:off x="3476625" y="1495425"/>
          <a:ext cx="0" cy="22860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228600</xdr:colOff>
      <xdr:row>5</xdr:row>
      <xdr:rowOff>76200</xdr:rowOff>
    </xdr:from>
    <xdr:to>
      <xdr:col>6</xdr:col>
      <xdr:colOff>228600</xdr:colOff>
      <xdr:row>6</xdr:row>
      <xdr:rowOff>142875</xdr:rowOff>
    </xdr:to>
    <xdr:sp macro="" textlink="">
      <xdr:nvSpPr>
        <xdr:cNvPr id="4127" name="Line 31"/>
        <xdr:cNvSpPr>
          <a:spLocks noChangeShapeType="1"/>
        </xdr:cNvSpPr>
      </xdr:nvSpPr>
      <xdr:spPr bwMode="auto">
        <a:xfrm flipV="1">
          <a:off x="3476625" y="1095375"/>
          <a:ext cx="0" cy="26670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314325</xdr:colOff>
      <xdr:row>5</xdr:row>
      <xdr:rowOff>85725</xdr:rowOff>
    </xdr:from>
    <xdr:to>
      <xdr:col>6</xdr:col>
      <xdr:colOff>219075</xdr:colOff>
      <xdr:row>5</xdr:row>
      <xdr:rowOff>85725</xdr:rowOff>
    </xdr:to>
    <xdr:sp macro="" textlink="">
      <xdr:nvSpPr>
        <xdr:cNvPr id="4128" name="Line 32"/>
        <xdr:cNvSpPr>
          <a:spLocks noChangeShapeType="1"/>
        </xdr:cNvSpPr>
      </xdr:nvSpPr>
      <xdr:spPr bwMode="auto">
        <a:xfrm>
          <a:off x="2943225" y="1104900"/>
          <a:ext cx="5238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95250</xdr:colOff>
      <xdr:row>6</xdr:row>
      <xdr:rowOff>152400</xdr:rowOff>
    </xdr:from>
    <xdr:to>
      <xdr:col>10</xdr:col>
      <xdr:colOff>314325</xdr:colOff>
      <xdr:row>7</xdr:row>
      <xdr:rowOff>0</xdr:rowOff>
    </xdr:to>
    <xdr:sp macro="" textlink="">
      <xdr:nvSpPr>
        <xdr:cNvPr id="4133" name="Line 37"/>
        <xdr:cNvSpPr>
          <a:spLocks noChangeShapeType="1"/>
        </xdr:cNvSpPr>
      </xdr:nvSpPr>
      <xdr:spPr bwMode="auto">
        <a:xfrm flipV="1">
          <a:off x="5048250" y="1371600"/>
          <a:ext cx="866775" cy="95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76200</xdr:colOff>
      <xdr:row>7</xdr:row>
      <xdr:rowOff>133350</xdr:rowOff>
    </xdr:from>
    <xdr:to>
      <xdr:col>9</xdr:col>
      <xdr:colOff>571500</xdr:colOff>
      <xdr:row>7</xdr:row>
      <xdr:rowOff>133350</xdr:rowOff>
    </xdr:to>
    <xdr:sp macro="" textlink="">
      <xdr:nvSpPr>
        <xdr:cNvPr id="4134" name="Line 38"/>
        <xdr:cNvSpPr>
          <a:spLocks noChangeShapeType="1"/>
        </xdr:cNvSpPr>
      </xdr:nvSpPr>
      <xdr:spPr bwMode="auto">
        <a:xfrm>
          <a:off x="4476750" y="1514475"/>
          <a:ext cx="10477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514350</xdr:colOff>
      <xdr:row>5</xdr:row>
      <xdr:rowOff>114300</xdr:rowOff>
    </xdr:from>
    <xdr:to>
      <xdr:col>9</xdr:col>
      <xdr:colOff>514350</xdr:colOff>
      <xdr:row>6</xdr:row>
      <xdr:rowOff>152400</xdr:rowOff>
    </xdr:to>
    <xdr:sp macro="" textlink="">
      <xdr:nvSpPr>
        <xdr:cNvPr id="4135" name="Line 39"/>
        <xdr:cNvSpPr>
          <a:spLocks noChangeShapeType="1"/>
        </xdr:cNvSpPr>
      </xdr:nvSpPr>
      <xdr:spPr bwMode="auto">
        <a:xfrm flipV="1">
          <a:off x="5467350" y="1133475"/>
          <a:ext cx="0" cy="2381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523875</xdr:colOff>
      <xdr:row>7</xdr:row>
      <xdr:rowOff>133350</xdr:rowOff>
    </xdr:from>
    <xdr:to>
      <xdr:col>9</xdr:col>
      <xdr:colOff>523875</xdr:colOff>
      <xdr:row>9</xdr:row>
      <xdr:rowOff>0</xdr:rowOff>
    </xdr:to>
    <xdr:sp macro="" textlink="">
      <xdr:nvSpPr>
        <xdr:cNvPr id="4136" name="Line 40"/>
        <xdr:cNvSpPr>
          <a:spLocks noChangeShapeType="1"/>
        </xdr:cNvSpPr>
      </xdr:nvSpPr>
      <xdr:spPr bwMode="auto">
        <a:xfrm>
          <a:off x="5476875" y="1514475"/>
          <a:ext cx="0" cy="22860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523875</xdr:colOff>
      <xdr:row>5</xdr:row>
      <xdr:rowOff>104775</xdr:rowOff>
    </xdr:from>
    <xdr:to>
      <xdr:col>10</xdr:col>
      <xdr:colOff>66675</xdr:colOff>
      <xdr:row>5</xdr:row>
      <xdr:rowOff>104775</xdr:rowOff>
    </xdr:to>
    <xdr:sp macro="" textlink="">
      <xdr:nvSpPr>
        <xdr:cNvPr id="4137" name="Line 41"/>
        <xdr:cNvSpPr>
          <a:spLocks noChangeShapeType="1"/>
        </xdr:cNvSpPr>
      </xdr:nvSpPr>
      <xdr:spPr bwMode="auto">
        <a:xfrm>
          <a:off x="5476875" y="1123950"/>
          <a:ext cx="1905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457200</xdr:colOff>
      <xdr:row>9</xdr:row>
      <xdr:rowOff>152400</xdr:rowOff>
    </xdr:from>
    <xdr:to>
      <xdr:col>10</xdr:col>
      <xdr:colOff>314325</xdr:colOff>
      <xdr:row>9</xdr:row>
      <xdr:rowOff>152400</xdr:rowOff>
    </xdr:to>
    <xdr:sp macro="" textlink="">
      <xdr:nvSpPr>
        <xdr:cNvPr id="4138" name="Line 42"/>
        <xdr:cNvSpPr>
          <a:spLocks noChangeShapeType="1"/>
        </xdr:cNvSpPr>
      </xdr:nvSpPr>
      <xdr:spPr bwMode="auto">
        <a:xfrm>
          <a:off x="4248150" y="1895475"/>
          <a:ext cx="16668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lgDashDot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552450</xdr:colOff>
      <xdr:row>9</xdr:row>
      <xdr:rowOff>95250</xdr:rowOff>
    </xdr:from>
    <xdr:to>
      <xdr:col>8</xdr:col>
      <xdr:colOff>28575</xdr:colOff>
      <xdr:row>10</xdr:row>
      <xdr:rowOff>66675</xdr:rowOff>
    </xdr:to>
    <xdr:sp macro="" textlink="">
      <xdr:nvSpPr>
        <xdr:cNvPr id="4139" name="Rectangle 43"/>
        <xdr:cNvSpPr>
          <a:spLocks noChangeArrowheads="1"/>
        </xdr:cNvSpPr>
      </xdr:nvSpPr>
      <xdr:spPr bwMode="auto">
        <a:xfrm>
          <a:off x="4343400" y="1838325"/>
          <a:ext cx="85725" cy="133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219075</xdr:colOff>
      <xdr:row>9</xdr:row>
      <xdr:rowOff>28575</xdr:rowOff>
    </xdr:from>
    <xdr:to>
      <xdr:col>10</xdr:col>
      <xdr:colOff>219075</xdr:colOff>
      <xdr:row>9</xdr:row>
      <xdr:rowOff>152400</xdr:rowOff>
    </xdr:to>
    <xdr:sp macro="" textlink="">
      <xdr:nvSpPr>
        <xdr:cNvPr id="4140" name="Line 44"/>
        <xdr:cNvSpPr>
          <a:spLocks noChangeShapeType="1"/>
        </xdr:cNvSpPr>
      </xdr:nvSpPr>
      <xdr:spPr bwMode="auto">
        <a:xfrm flipV="1">
          <a:off x="5819775" y="1771650"/>
          <a:ext cx="0" cy="1238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219075</xdr:colOff>
      <xdr:row>7</xdr:row>
      <xdr:rowOff>0</xdr:rowOff>
    </xdr:from>
    <xdr:to>
      <xdr:col>10</xdr:col>
      <xdr:colOff>219075</xdr:colOff>
      <xdr:row>7</xdr:row>
      <xdr:rowOff>133350</xdr:rowOff>
    </xdr:to>
    <xdr:sp macro="" textlink="">
      <xdr:nvSpPr>
        <xdr:cNvPr id="4141" name="Line 45"/>
        <xdr:cNvSpPr>
          <a:spLocks noChangeShapeType="1"/>
        </xdr:cNvSpPr>
      </xdr:nvSpPr>
      <xdr:spPr bwMode="auto">
        <a:xfrm>
          <a:off x="5819775" y="1381125"/>
          <a:ext cx="0" cy="1333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</xdr:colOff>
      <xdr:row>6</xdr:row>
      <xdr:rowOff>0</xdr:rowOff>
    </xdr:from>
    <xdr:to>
      <xdr:col>8</xdr:col>
      <xdr:colOff>9525</xdr:colOff>
      <xdr:row>6</xdr:row>
      <xdr:rowOff>0</xdr:rowOff>
    </xdr:to>
    <xdr:sp macro="" textlink="">
      <xdr:nvSpPr>
        <xdr:cNvPr id="3120" name="Line 48"/>
        <xdr:cNvSpPr>
          <a:spLocks noChangeShapeType="1"/>
        </xdr:cNvSpPr>
      </xdr:nvSpPr>
      <xdr:spPr bwMode="auto">
        <a:xfrm>
          <a:off x="3362325" y="1219200"/>
          <a:ext cx="120967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28575</xdr:colOff>
      <xdr:row>6</xdr:row>
      <xdr:rowOff>19050</xdr:rowOff>
    </xdr:from>
    <xdr:to>
      <xdr:col>6</xdr:col>
      <xdr:colOff>28575</xdr:colOff>
      <xdr:row>6</xdr:row>
      <xdr:rowOff>66675</xdr:rowOff>
    </xdr:to>
    <xdr:sp macro="" textlink="">
      <xdr:nvSpPr>
        <xdr:cNvPr id="3121" name="Line 49"/>
        <xdr:cNvSpPr>
          <a:spLocks noChangeShapeType="1"/>
        </xdr:cNvSpPr>
      </xdr:nvSpPr>
      <xdr:spPr bwMode="auto">
        <a:xfrm>
          <a:off x="3371850" y="1238250"/>
          <a:ext cx="0" cy="476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9525</xdr:colOff>
      <xdr:row>5</xdr:row>
      <xdr:rowOff>152400</xdr:rowOff>
    </xdr:from>
    <xdr:to>
      <xdr:col>8</xdr:col>
      <xdr:colOff>19050</xdr:colOff>
      <xdr:row>6</xdr:row>
      <xdr:rowOff>66675</xdr:rowOff>
    </xdr:to>
    <xdr:sp macro="" textlink="">
      <xdr:nvSpPr>
        <xdr:cNvPr id="3122" name="Line 50"/>
        <xdr:cNvSpPr>
          <a:spLocks noChangeShapeType="1"/>
        </xdr:cNvSpPr>
      </xdr:nvSpPr>
      <xdr:spPr bwMode="auto">
        <a:xfrm>
          <a:off x="4572000" y="1209675"/>
          <a:ext cx="9525" cy="7620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38100</xdr:colOff>
      <xdr:row>6</xdr:row>
      <xdr:rowOff>66675</xdr:rowOff>
    </xdr:from>
    <xdr:to>
      <xdr:col>6</xdr:col>
      <xdr:colOff>561975</xdr:colOff>
      <xdr:row>6</xdr:row>
      <xdr:rowOff>66675</xdr:rowOff>
    </xdr:to>
    <xdr:sp macro="" textlink="">
      <xdr:nvSpPr>
        <xdr:cNvPr id="3123" name="Line 51"/>
        <xdr:cNvSpPr>
          <a:spLocks noChangeShapeType="1"/>
        </xdr:cNvSpPr>
      </xdr:nvSpPr>
      <xdr:spPr bwMode="auto">
        <a:xfrm flipV="1">
          <a:off x="3381375" y="1285875"/>
          <a:ext cx="52387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38100</xdr:colOff>
      <xdr:row>6</xdr:row>
      <xdr:rowOff>66675</xdr:rowOff>
    </xdr:from>
    <xdr:to>
      <xdr:col>8</xdr:col>
      <xdr:colOff>19050</xdr:colOff>
      <xdr:row>6</xdr:row>
      <xdr:rowOff>66675</xdr:rowOff>
    </xdr:to>
    <xdr:sp macro="" textlink="">
      <xdr:nvSpPr>
        <xdr:cNvPr id="3124" name="Line 52"/>
        <xdr:cNvSpPr>
          <a:spLocks noChangeShapeType="1"/>
        </xdr:cNvSpPr>
      </xdr:nvSpPr>
      <xdr:spPr bwMode="auto">
        <a:xfrm flipH="1">
          <a:off x="3990975" y="1285875"/>
          <a:ext cx="590550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19050</xdr:colOff>
      <xdr:row>13</xdr:row>
      <xdr:rowOff>142875</xdr:rowOff>
    </xdr:from>
    <xdr:to>
      <xdr:col>8</xdr:col>
      <xdr:colOff>19050</xdr:colOff>
      <xdr:row>13</xdr:row>
      <xdr:rowOff>142875</xdr:rowOff>
    </xdr:to>
    <xdr:sp macro="" textlink="">
      <xdr:nvSpPr>
        <xdr:cNvPr id="3125" name="Line 53"/>
        <xdr:cNvSpPr>
          <a:spLocks noChangeShapeType="1"/>
        </xdr:cNvSpPr>
      </xdr:nvSpPr>
      <xdr:spPr bwMode="auto">
        <a:xfrm>
          <a:off x="3362325" y="2647950"/>
          <a:ext cx="1219200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581025</xdr:colOff>
      <xdr:row>6</xdr:row>
      <xdr:rowOff>66675</xdr:rowOff>
    </xdr:from>
    <xdr:to>
      <xdr:col>6</xdr:col>
      <xdr:colOff>581025</xdr:colOff>
      <xdr:row>13</xdr:row>
      <xdr:rowOff>57150</xdr:rowOff>
    </xdr:to>
    <xdr:sp macro="" textlink="">
      <xdr:nvSpPr>
        <xdr:cNvPr id="3126" name="Line 54"/>
        <xdr:cNvSpPr>
          <a:spLocks noChangeShapeType="1"/>
        </xdr:cNvSpPr>
      </xdr:nvSpPr>
      <xdr:spPr bwMode="auto">
        <a:xfrm>
          <a:off x="3924300" y="1285875"/>
          <a:ext cx="0" cy="127635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19050</xdr:colOff>
      <xdr:row>13</xdr:row>
      <xdr:rowOff>76200</xdr:rowOff>
    </xdr:from>
    <xdr:to>
      <xdr:col>6</xdr:col>
      <xdr:colOff>552450</xdr:colOff>
      <xdr:row>13</xdr:row>
      <xdr:rowOff>76200</xdr:rowOff>
    </xdr:to>
    <xdr:sp macro="" textlink="">
      <xdr:nvSpPr>
        <xdr:cNvPr id="3127" name="Line 55"/>
        <xdr:cNvSpPr>
          <a:spLocks noChangeShapeType="1"/>
        </xdr:cNvSpPr>
      </xdr:nvSpPr>
      <xdr:spPr bwMode="auto">
        <a:xfrm flipH="1">
          <a:off x="3362325" y="2581275"/>
          <a:ext cx="533400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19050</xdr:colOff>
      <xdr:row>13</xdr:row>
      <xdr:rowOff>76200</xdr:rowOff>
    </xdr:from>
    <xdr:to>
      <xdr:col>6</xdr:col>
      <xdr:colOff>28575</xdr:colOff>
      <xdr:row>14</xdr:row>
      <xdr:rowOff>0</xdr:rowOff>
    </xdr:to>
    <xdr:sp macro="" textlink="">
      <xdr:nvSpPr>
        <xdr:cNvPr id="3128" name="Line 56"/>
        <xdr:cNvSpPr>
          <a:spLocks noChangeShapeType="1"/>
        </xdr:cNvSpPr>
      </xdr:nvSpPr>
      <xdr:spPr bwMode="auto">
        <a:xfrm flipH="1">
          <a:off x="3362325" y="2581275"/>
          <a:ext cx="9525" cy="857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523875</xdr:colOff>
      <xdr:row>13</xdr:row>
      <xdr:rowOff>28575</xdr:rowOff>
    </xdr:from>
    <xdr:to>
      <xdr:col>6</xdr:col>
      <xdr:colOff>590550</xdr:colOff>
      <xdr:row>13</xdr:row>
      <xdr:rowOff>76200</xdr:rowOff>
    </xdr:to>
    <xdr:sp macro="" textlink="">
      <xdr:nvSpPr>
        <xdr:cNvPr id="3129" name="Line 57"/>
        <xdr:cNvSpPr>
          <a:spLocks noChangeShapeType="1"/>
        </xdr:cNvSpPr>
      </xdr:nvSpPr>
      <xdr:spPr bwMode="auto">
        <a:xfrm flipH="1">
          <a:off x="3867150" y="2533650"/>
          <a:ext cx="66675" cy="476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9525</xdr:colOff>
      <xdr:row>6</xdr:row>
      <xdr:rowOff>66675</xdr:rowOff>
    </xdr:from>
    <xdr:to>
      <xdr:col>7</xdr:col>
      <xdr:colOff>9525</xdr:colOff>
      <xdr:row>13</xdr:row>
      <xdr:rowOff>19050</xdr:rowOff>
    </xdr:to>
    <xdr:sp macro="" textlink="">
      <xdr:nvSpPr>
        <xdr:cNvPr id="3130" name="Line 58"/>
        <xdr:cNvSpPr>
          <a:spLocks noChangeShapeType="1"/>
        </xdr:cNvSpPr>
      </xdr:nvSpPr>
      <xdr:spPr bwMode="auto">
        <a:xfrm>
          <a:off x="3962400" y="1285875"/>
          <a:ext cx="0" cy="123825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28575</xdr:colOff>
      <xdr:row>13</xdr:row>
      <xdr:rowOff>19050</xdr:rowOff>
    </xdr:from>
    <xdr:to>
      <xdr:col>7</xdr:col>
      <xdr:colOff>57150</xdr:colOff>
      <xdr:row>13</xdr:row>
      <xdr:rowOff>66675</xdr:rowOff>
    </xdr:to>
    <xdr:sp macro="" textlink="">
      <xdr:nvSpPr>
        <xdr:cNvPr id="3131" name="Line 59"/>
        <xdr:cNvSpPr>
          <a:spLocks noChangeShapeType="1"/>
        </xdr:cNvSpPr>
      </xdr:nvSpPr>
      <xdr:spPr bwMode="auto">
        <a:xfrm>
          <a:off x="3981450" y="2524125"/>
          <a:ext cx="28575" cy="476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47625</xdr:colOff>
      <xdr:row>13</xdr:row>
      <xdr:rowOff>66675</xdr:rowOff>
    </xdr:from>
    <xdr:to>
      <xdr:col>8</xdr:col>
      <xdr:colOff>9525</xdr:colOff>
      <xdr:row>13</xdr:row>
      <xdr:rowOff>66675</xdr:rowOff>
    </xdr:to>
    <xdr:sp macro="" textlink="">
      <xdr:nvSpPr>
        <xdr:cNvPr id="3132" name="Line 60"/>
        <xdr:cNvSpPr>
          <a:spLocks noChangeShapeType="1"/>
        </xdr:cNvSpPr>
      </xdr:nvSpPr>
      <xdr:spPr bwMode="auto">
        <a:xfrm>
          <a:off x="4000500" y="2571750"/>
          <a:ext cx="571500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13</xdr:row>
      <xdr:rowOff>66675</xdr:rowOff>
    </xdr:from>
    <xdr:to>
      <xdr:col>8</xdr:col>
      <xdr:colOff>9525</xdr:colOff>
      <xdr:row>13</xdr:row>
      <xdr:rowOff>142875</xdr:rowOff>
    </xdr:to>
    <xdr:sp macro="" textlink="">
      <xdr:nvSpPr>
        <xdr:cNvPr id="3133" name="Line 61"/>
        <xdr:cNvSpPr>
          <a:spLocks noChangeShapeType="1"/>
        </xdr:cNvSpPr>
      </xdr:nvSpPr>
      <xdr:spPr bwMode="auto">
        <a:xfrm flipH="1">
          <a:off x="4562475" y="2571750"/>
          <a:ext cx="9525" cy="7620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0</xdr:row>
      <xdr:rowOff>123825</xdr:rowOff>
    </xdr:from>
    <xdr:to>
      <xdr:col>6</xdr:col>
      <xdr:colOff>9525</xdr:colOff>
      <xdr:row>5</xdr:row>
      <xdr:rowOff>104775</xdr:rowOff>
    </xdr:to>
    <xdr:sp macro="" textlink="">
      <xdr:nvSpPr>
        <xdr:cNvPr id="3134" name="Line 62"/>
        <xdr:cNvSpPr>
          <a:spLocks noChangeShapeType="1"/>
        </xdr:cNvSpPr>
      </xdr:nvSpPr>
      <xdr:spPr bwMode="auto">
        <a:xfrm flipV="1">
          <a:off x="3352800" y="123825"/>
          <a:ext cx="0" cy="10382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9525</xdr:colOff>
      <xdr:row>0</xdr:row>
      <xdr:rowOff>95250</xdr:rowOff>
    </xdr:from>
    <xdr:to>
      <xdr:col>8</xdr:col>
      <xdr:colOff>9525</xdr:colOff>
      <xdr:row>5</xdr:row>
      <xdr:rowOff>104775</xdr:rowOff>
    </xdr:to>
    <xdr:sp macro="" textlink="">
      <xdr:nvSpPr>
        <xdr:cNvPr id="3135" name="Line 63"/>
        <xdr:cNvSpPr>
          <a:spLocks noChangeShapeType="1"/>
        </xdr:cNvSpPr>
      </xdr:nvSpPr>
      <xdr:spPr bwMode="auto">
        <a:xfrm flipV="1">
          <a:off x="4572000" y="95250"/>
          <a:ext cx="0" cy="106680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</xdr:row>
      <xdr:rowOff>28575</xdr:rowOff>
    </xdr:from>
    <xdr:to>
      <xdr:col>8</xdr:col>
      <xdr:colOff>47625</xdr:colOff>
      <xdr:row>1</xdr:row>
      <xdr:rowOff>28575</xdr:rowOff>
    </xdr:to>
    <xdr:sp macro="" textlink="">
      <xdr:nvSpPr>
        <xdr:cNvPr id="3136" name="Line 64"/>
        <xdr:cNvSpPr>
          <a:spLocks noChangeShapeType="1"/>
        </xdr:cNvSpPr>
      </xdr:nvSpPr>
      <xdr:spPr bwMode="auto">
        <a:xfrm>
          <a:off x="3343275" y="228600"/>
          <a:ext cx="126682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257175</xdr:colOff>
      <xdr:row>5</xdr:row>
      <xdr:rowOff>152400</xdr:rowOff>
    </xdr:from>
    <xdr:to>
      <xdr:col>6</xdr:col>
      <xdr:colOff>371475</xdr:colOff>
      <xdr:row>6</xdr:row>
      <xdr:rowOff>66675</xdr:rowOff>
    </xdr:to>
    <xdr:sp macro="" textlink="">
      <xdr:nvSpPr>
        <xdr:cNvPr id="3137" name="Rectangle 65"/>
        <xdr:cNvSpPr>
          <a:spLocks noChangeArrowheads="1"/>
        </xdr:cNvSpPr>
      </xdr:nvSpPr>
      <xdr:spPr bwMode="auto">
        <a:xfrm>
          <a:off x="3600450" y="1209675"/>
          <a:ext cx="114300" cy="762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276225</xdr:colOff>
      <xdr:row>5</xdr:row>
      <xdr:rowOff>152400</xdr:rowOff>
    </xdr:from>
    <xdr:to>
      <xdr:col>7</xdr:col>
      <xdr:colOff>361950</xdr:colOff>
      <xdr:row>6</xdr:row>
      <xdr:rowOff>76200</xdr:rowOff>
    </xdr:to>
    <xdr:sp macro="" textlink="">
      <xdr:nvSpPr>
        <xdr:cNvPr id="3138" name="Rectangle 66"/>
        <xdr:cNvSpPr>
          <a:spLocks noChangeArrowheads="1"/>
        </xdr:cNvSpPr>
      </xdr:nvSpPr>
      <xdr:spPr bwMode="auto">
        <a:xfrm>
          <a:off x="4229100" y="1209675"/>
          <a:ext cx="85725" cy="85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314325</xdr:colOff>
      <xdr:row>1</xdr:row>
      <xdr:rowOff>247650</xdr:rowOff>
    </xdr:from>
    <xdr:to>
      <xdr:col>6</xdr:col>
      <xdr:colOff>314325</xdr:colOff>
      <xdr:row>7</xdr:row>
      <xdr:rowOff>0</xdr:rowOff>
    </xdr:to>
    <xdr:sp macro="" textlink="">
      <xdr:nvSpPr>
        <xdr:cNvPr id="3139" name="Line 67"/>
        <xdr:cNvSpPr>
          <a:spLocks noChangeShapeType="1"/>
        </xdr:cNvSpPr>
      </xdr:nvSpPr>
      <xdr:spPr bwMode="auto">
        <a:xfrm flipV="1">
          <a:off x="3657600" y="400050"/>
          <a:ext cx="0" cy="98107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lgDashDot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323850</xdr:colOff>
      <xdr:row>1</xdr:row>
      <xdr:rowOff>266700</xdr:rowOff>
    </xdr:from>
    <xdr:to>
      <xdr:col>7</xdr:col>
      <xdr:colOff>333375</xdr:colOff>
      <xdr:row>7</xdr:row>
      <xdr:rowOff>0</xdr:rowOff>
    </xdr:to>
    <xdr:sp macro="" textlink="">
      <xdr:nvSpPr>
        <xdr:cNvPr id="3140" name="Line 68"/>
        <xdr:cNvSpPr>
          <a:spLocks noChangeShapeType="1"/>
        </xdr:cNvSpPr>
      </xdr:nvSpPr>
      <xdr:spPr bwMode="auto">
        <a:xfrm flipH="1" flipV="1">
          <a:off x="4276725" y="400050"/>
          <a:ext cx="9525" cy="98107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lgDashDot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1</xdr:row>
      <xdr:rowOff>276225</xdr:rowOff>
    </xdr:from>
    <xdr:to>
      <xdr:col>7</xdr:col>
      <xdr:colOff>333375</xdr:colOff>
      <xdr:row>1</xdr:row>
      <xdr:rowOff>276225</xdr:rowOff>
    </xdr:to>
    <xdr:sp macro="" textlink="">
      <xdr:nvSpPr>
        <xdr:cNvPr id="3141" name="Line 69"/>
        <xdr:cNvSpPr>
          <a:spLocks noChangeShapeType="1"/>
        </xdr:cNvSpPr>
      </xdr:nvSpPr>
      <xdr:spPr bwMode="auto">
        <a:xfrm>
          <a:off x="3648075" y="400050"/>
          <a:ext cx="6381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419100</xdr:colOff>
      <xdr:row>6</xdr:row>
      <xdr:rowOff>0</xdr:rowOff>
    </xdr:from>
    <xdr:to>
      <xdr:col>5</xdr:col>
      <xdr:colOff>571500</xdr:colOff>
      <xdr:row>6</xdr:row>
      <xdr:rowOff>0</xdr:rowOff>
    </xdr:to>
    <xdr:sp macro="" textlink="">
      <xdr:nvSpPr>
        <xdr:cNvPr id="3142" name="Line 70"/>
        <xdr:cNvSpPr>
          <a:spLocks noChangeShapeType="1"/>
        </xdr:cNvSpPr>
      </xdr:nvSpPr>
      <xdr:spPr bwMode="auto">
        <a:xfrm flipH="1">
          <a:off x="2505075" y="1219200"/>
          <a:ext cx="8001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457200</xdr:colOff>
      <xdr:row>13</xdr:row>
      <xdr:rowOff>152400</xdr:rowOff>
    </xdr:from>
    <xdr:to>
      <xdr:col>5</xdr:col>
      <xdr:colOff>590550</xdr:colOff>
      <xdr:row>13</xdr:row>
      <xdr:rowOff>152400</xdr:rowOff>
    </xdr:to>
    <xdr:sp macro="" textlink="">
      <xdr:nvSpPr>
        <xdr:cNvPr id="3143" name="Line 71"/>
        <xdr:cNvSpPr>
          <a:spLocks noChangeShapeType="1"/>
        </xdr:cNvSpPr>
      </xdr:nvSpPr>
      <xdr:spPr bwMode="auto">
        <a:xfrm flipH="1">
          <a:off x="2543175" y="2657475"/>
          <a:ext cx="7810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485775</xdr:colOff>
      <xdr:row>5</xdr:row>
      <xdr:rowOff>152400</xdr:rowOff>
    </xdr:from>
    <xdr:to>
      <xdr:col>4</xdr:col>
      <xdr:colOff>485775</xdr:colOff>
      <xdr:row>13</xdr:row>
      <xdr:rowOff>142875</xdr:rowOff>
    </xdr:to>
    <xdr:sp macro="" textlink="">
      <xdr:nvSpPr>
        <xdr:cNvPr id="3144" name="Line 72"/>
        <xdr:cNvSpPr>
          <a:spLocks noChangeShapeType="1"/>
        </xdr:cNvSpPr>
      </xdr:nvSpPr>
      <xdr:spPr bwMode="auto">
        <a:xfrm flipV="1">
          <a:off x="2571750" y="1209675"/>
          <a:ext cx="0" cy="143827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180975</xdr:colOff>
      <xdr:row>11</xdr:row>
      <xdr:rowOff>85725</xdr:rowOff>
    </xdr:from>
    <xdr:to>
      <xdr:col>6</xdr:col>
      <xdr:colOff>561975</xdr:colOff>
      <xdr:row>11</xdr:row>
      <xdr:rowOff>85725</xdr:rowOff>
    </xdr:to>
    <xdr:sp macro="" textlink="">
      <xdr:nvSpPr>
        <xdr:cNvPr id="3145" name="Line 73"/>
        <xdr:cNvSpPr>
          <a:spLocks noChangeShapeType="1"/>
        </xdr:cNvSpPr>
      </xdr:nvSpPr>
      <xdr:spPr bwMode="auto">
        <a:xfrm>
          <a:off x="3524250" y="2228850"/>
          <a:ext cx="3810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28575</xdr:colOff>
      <xdr:row>11</xdr:row>
      <xdr:rowOff>85725</xdr:rowOff>
    </xdr:from>
    <xdr:to>
      <xdr:col>7</xdr:col>
      <xdr:colOff>314325</xdr:colOff>
      <xdr:row>11</xdr:row>
      <xdr:rowOff>85725</xdr:rowOff>
    </xdr:to>
    <xdr:sp macro="" textlink="">
      <xdr:nvSpPr>
        <xdr:cNvPr id="3146" name="Line 74"/>
        <xdr:cNvSpPr>
          <a:spLocks noChangeShapeType="1"/>
        </xdr:cNvSpPr>
      </xdr:nvSpPr>
      <xdr:spPr bwMode="auto">
        <a:xfrm>
          <a:off x="3981450" y="2228850"/>
          <a:ext cx="2857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6</xdr:row>
      <xdr:rowOff>76200</xdr:rowOff>
    </xdr:from>
    <xdr:to>
      <xdr:col>5</xdr:col>
      <xdr:colOff>600075</xdr:colOff>
      <xdr:row>6</xdr:row>
      <xdr:rowOff>76200</xdr:rowOff>
    </xdr:to>
    <xdr:sp macro="" textlink="">
      <xdr:nvSpPr>
        <xdr:cNvPr id="3147" name="Line 75"/>
        <xdr:cNvSpPr>
          <a:spLocks noChangeShapeType="1"/>
        </xdr:cNvSpPr>
      </xdr:nvSpPr>
      <xdr:spPr bwMode="auto">
        <a:xfrm flipH="1">
          <a:off x="2914650" y="1295400"/>
          <a:ext cx="4191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238125</xdr:colOff>
      <xdr:row>6</xdr:row>
      <xdr:rowOff>66675</xdr:rowOff>
    </xdr:from>
    <xdr:to>
      <xdr:col>5</xdr:col>
      <xdr:colOff>238125</xdr:colOff>
      <xdr:row>7</xdr:row>
      <xdr:rowOff>133350</xdr:rowOff>
    </xdr:to>
    <xdr:sp macro="" textlink="">
      <xdr:nvSpPr>
        <xdr:cNvPr id="3148" name="Line 76"/>
        <xdr:cNvSpPr>
          <a:spLocks noChangeShapeType="1"/>
        </xdr:cNvSpPr>
      </xdr:nvSpPr>
      <xdr:spPr bwMode="auto">
        <a:xfrm>
          <a:off x="2971800" y="1285875"/>
          <a:ext cx="0" cy="22860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228600</xdr:colOff>
      <xdr:row>4</xdr:row>
      <xdr:rowOff>76200</xdr:rowOff>
    </xdr:from>
    <xdr:to>
      <xdr:col>5</xdr:col>
      <xdr:colOff>228600</xdr:colOff>
      <xdr:row>5</xdr:row>
      <xdr:rowOff>142875</xdr:rowOff>
    </xdr:to>
    <xdr:sp macro="" textlink="">
      <xdr:nvSpPr>
        <xdr:cNvPr id="3149" name="Line 77"/>
        <xdr:cNvSpPr>
          <a:spLocks noChangeShapeType="1"/>
        </xdr:cNvSpPr>
      </xdr:nvSpPr>
      <xdr:spPr bwMode="auto">
        <a:xfrm flipV="1">
          <a:off x="2962275" y="933450"/>
          <a:ext cx="0" cy="26670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314325</xdr:colOff>
      <xdr:row>4</xdr:row>
      <xdr:rowOff>85725</xdr:rowOff>
    </xdr:from>
    <xdr:to>
      <xdr:col>5</xdr:col>
      <xdr:colOff>219075</xdr:colOff>
      <xdr:row>4</xdr:row>
      <xdr:rowOff>85725</xdr:rowOff>
    </xdr:to>
    <xdr:sp macro="" textlink="">
      <xdr:nvSpPr>
        <xdr:cNvPr id="3150" name="Line 78"/>
        <xdr:cNvSpPr>
          <a:spLocks noChangeShapeType="1"/>
        </xdr:cNvSpPr>
      </xdr:nvSpPr>
      <xdr:spPr bwMode="auto">
        <a:xfrm>
          <a:off x="2400300" y="942975"/>
          <a:ext cx="5524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590550</xdr:colOff>
      <xdr:row>3</xdr:row>
      <xdr:rowOff>95250</xdr:rowOff>
    </xdr:from>
    <xdr:to>
      <xdr:col>6</xdr:col>
      <xdr:colOff>600075</xdr:colOff>
      <xdr:row>6</xdr:row>
      <xdr:rowOff>123825</xdr:rowOff>
    </xdr:to>
    <xdr:sp macro="" textlink="">
      <xdr:nvSpPr>
        <xdr:cNvPr id="3151" name="Line 79"/>
        <xdr:cNvSpPr>
          <a:spLocks noChangeShapeType="1"/>
        </xdr:cNvSpPr>
      </xdr:nvSpPr>
      <xdr:spPr bwMode="auto">
        <a:xfrm flipH="1" flipV="1">
          <a:off x="3933825" y="657225"/>
          <a:ext cx="9525" cy="68580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prstDash val="lgDashDot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57150</xdr:colOff>
      <xdr:row>3</xdr:row>
      <xdr:rowOff>95250</xdr:rowOff>
    </xdr:from>
    <xdr:to>
      <xdr:col>7</xdr:col>
      <xdr:colOff>57150</xdr:colOff>
      <xdr:row>6</xdr:row>
      <xdr:rowOff>76200</xdr:rowOff>
    </xdr:to>
    <xdr:sp macro="" textlink="">
      <xdr:nvSpPr>
        <xdr:cNvPr id="3152" name="Line 80"/>
        <xdr:cNvSpPr>
          <a:spLocks noChangeShapeType="1"/>
        </xdr:cNvSpPr>
      </xdr:nvSpPr>
      <xdr:spPr bwMode="auto">
        <a:xfrm flipV="1">
          <a:off x="4010025" y="657225"/>
          <a:ext cx="0" cy="63817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361950</xdr:colOff>
      <xdr:row>4</xdr:row>
      <xdr:rowOff>19050</xdr:rowOff>
    </xdr:from>
    <xdr:to>
      <xdr:col>6</xdr:col>
      <xdr:colOff>581025</xdr:colOff>
      <xdr:row>4</xdr:row>
      <xdr:rowOff>19050</xdr:rowOff>
    </xdr:to>
    <xdr:sp macro="" textlink="">
      <xdr:nvSpPr>
        <xdr:cNvPr id="3153" name="Line 81"/>
        <xdr:cNvSpPr>
          <a:spLocks noChangeShapeType="1"/>
        </xdr:cNvSpPr>
      </xdr:nvSpPr>
      <xdr:spPr bwMode="auto">
        <a:xfrm flipH="1">
          <a:off x="3705225" y="876300"/>
          <a:ext cx="2190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66675</xdr:colOff>
      <xdr:row>4</xdr:row>
      <xdr:rowOff>19050</xdr:rowOff>
    </xdr:from>
    <xdr:to>
      <xdr:col>7</xdr:col>
      <xdr:colOff>257175</xdr:colOff>
      <xdr:row>4</xdr:row>
      <xdr:rowOff>19050</xdr:rowOff>
    </xdr:to>
    <xdr:sp macro="" textlink="">
      <xdr:nvSpPr>
        <xdr:cNvPr id="3154" name="Line 82"/>
        <xdr:cNvSpPr>
          <a:spLocks noChangeShapeType="1"/>
        </xdr:cNvSpPr>
      </xdr:nvSpPr>
      <xdr:spPr bwMode="auto">
        <a:xfrm>
          <a:off x="4019550" y="876300"/>
          <a:ext cx="1905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95250</xdr:colOff>
      <xdr:row>5</xdr:row>
      <xdr:rowOff>152400</xdr:rowOff>
    </xdr:from>
    <xdr:to>
      <xdr:col>9</xdr:col>
      <xdr:colOff>314325</xdr:colOff>
      <xdr:row>6</xdr:row>
      <xdr:rowOff>0</xdr:rowOff>
    </xdr:to>
    <xdr:sp macro="" textlink="">
      <xdr:nvSpPr>
        <xdr:cNvPr id="3155" name="Line 83"/>
        <xdr:cNvSpPr>
          <a:spLocks noChangeShapeType="1"/>
        </xdr:cNvSpPr>
      </xdr:nvSpPr>
      <xdr:spPr bwMode="auto">
        <a:xfrm flipV="1">
          <a:off x="4657725" y="1209675"/>
          <a:ext cx="1066800" cy="95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76200</xdr:colOff>
      <xdr:row>6</xdr:row>
      <xdr:rowOff>133350</xdr:rowOff>
    </xdr:from>
    <xdr:to>
      <xdr:col>8</xdr:col>
      <xdr:colOff>571500</xdr:colOff>
      <xdr:row>6</xdr:row>
      <xdr:rowOff>133350</xdr:rowOff>
    </xdr:to>
    <xdr:sp macro="" textlink="">
      <xdr:nvSpPr>
        <xdr:cNvPr id="3156" name="Line 84"/>
        <xdr:cNvSpPr>
          <a:spLocks noChangeShapeType="1"/>
        </xdr:cNvSpPr>
      </xdr:nvSpPr>
      <xdr:spPr bwMode="auto">
        <a:xfrm>
          <a:off x="4029075" y="1352550"/>
          <a:ext cx="11049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514350</xdr:colOff>
      <xdr:row>4</xdr:row>
      <xdr:rowOff>114300</xdr:rowOff>
    </xdr:from>
    <xdr:to>
      <xdr:col>8</xdr:col>
      <xdr:colOff>514350</xdr:colOff>
      <xdr:row>5</xdr:row>
      <xdr:rowOff>152400</xdr:rowOff>
    </xdr:to>
    <xdr:sp macro="" textlink="">
      <xdr:nvSpPr>
        <xdr:cNvPr id="3157" name="Line 85"/>
        <xdr:cNvSpPr>
          <a:spLocks noChangeShapeType="1"/>
        </xdr:cNvSpPr>
      </xdr:nvSpPr>
      <xdr:spPr bwMode="auto">
        <a:xfrm flipV="1">
          <a:off x="5076825" y="971550"/>
          <a:ext cx="0" cy="2381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6</xdr:row>
      <xdr:rowOff>133350</xdr:rowOff>
    </xdr:from>
    <xdr:to>
      <xdr:col>8</xdr:col>
      <xdr:colOff>523875</xdr:colOff>
      <xdr:row>8</xdr:row>
      <xdr:rowOff>0</xdr:rowOff>
    </xdr:to>
    <xdr:sp macro="" textlink="">
      <xdr:nvSpPr>
        <xdr:cNvPr id="3158" name="Line 86"/>
        <xdr:cNvSpPr>
          <a:spLocks noChangeShapeType="1"/>
        </xdr:cNvSpPr>
      </xdr:nvSpPr>
      <xdr:spPr bwMode="auto">
        <a:xfrm>
          <a:off x="5086350" y="1352550"/>
          <a:ext cx="0" cy="22860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4</xdr:row>
      <xdr:rowOff>104775</xdr:rowOff>
    </xdr:from>
    <xdr:to>
      <xdr:col>9</xdr:col>
      <xdr:colOff>66675</xdr:colOff>
      <xdr:row>4</xdr:row>
      <xdr:rowOff>104775</xdr:rowOff>
    </xdr:to>
    <xdr:sp macro="" textlink="">
      <xdr:nvSpPr>
        <xdr:cNvPr id="3159" name="Line 87"/>
        <xdr:cNvSpPr>
          <a:spLocks noChangeShapeType="1"/>
        </xdr:cNvSpPr>
      </xdr:nvSpPr>
      <xdr:spPr bwMode="auto">
        <a:xfrm>
          <a:off x="5086350" y="962025"/>
          <a:ext cx="39052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457200</xdr:colOff>
      <xdr:row>8</xdr:row>
      <xdr:rowOff>152400</xdr:rowOff>
    </xdr:from>
    <xdr:to>
      <xdr:col>9</xdr:col>
      <xdr:colOff>314325</xdr:colOff>
      <xdr:row>8</xdr:row>
      <xdr:rowOff>152400</xdr:rowOff>
    </xdr:to>
    <xdr:sp macro="" textlink="">
      <xdr:nvSpPr>
        <xdr:cNvPr id="3160" name="Line 88"/>
        <xdr:cNvSpPr>
          <a:spLocks noChangeShapeType="1"/>
        </xdr:cNvSpPr>
      </xdr:nvSpPr>
      <xdr:spPr bwMode="auto">
        <a:xfrm>
          <a:off x="3800475" y="1733550"/>
          <a:ext cx="19240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lgDashDot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571500</xdr:colOff>
      <xdr:row>8</xdr:row>
      <xdr:rowOff>95250</xdr:rowOff>
    </xdr:from>
    <xdr:to>
      <xdr:col>7</xdr:col>
      <xdr:colOff>38100</xdr:colOff>
      <xdr:row>9</xdr:row>
      <xdr:rowOff>66675</xdr:rowOff>
    </xdr:to>
    <xdr:sp macro="" textlink="">
      <xdr:nvSpPr>
        <xdr:cNvPr id="3161" name="Rectangle 89"/>
        <xdr:cNvSpPr>
          <a:spLocks noChangeArrowheads="1"/>
        </xdr:cNvSpPr>
      </xdr:nvSpPr>
      <xdr:spPr bwMode="auto">
        <a:xfrm>
          <a:off x="3914775" y="1676400"/>
          <a:ext cx="76200" cy="133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219075</xdr:colOff>
      <xdr:row>8</xdr:row>
      <xdr:rowOff>28575</xdr:rowOff>
    </xdr:from>
    <xdr:to>
      <xdr:col>9</xdr:col>
      <xdr:colOff>219075</xdr:colOff>
      <xdr:row>8</xdr:row>
      <xdr:rowOff>152400</xdr:rowOff>
    </xdr:to>
    <xdr:sp macro="" textlink="">
      <xdr:nvSpPr>
        <xdr:cNvPr id="3162" name="Line 90"/>
        <xdr:cNvSpPr>
          <a:spLocks noChangeShapeType="1"/>
        </xdr:cNvSpPr>
      </xdr:nvSpPr>
      <xdr:spPr bwMode="auto">
        <a:xfrm flipV="1">
          <a:off x="5629275" y="1609725"/>
          <a:ext cx="0" cy="1238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219075</xdr:colOff>
      <xdr:row>6</xdr:row>
      <xdr:rowOff>0</xdr:rowOff>
    </xdr:from>
    <xdr:to>
      <xdr:col>9</xdr:col>
      <xdr:colOff>219075</xdr:colOff>
      <xdr:row>6</xdr:row>
      <xdr:rowOff>133350</xdr:rowOff>
    </xdr:to>
    <xdr:sp macro="" textlink="">
      <xdr:nvSpPr>
        <xdr:cNvPr id="3163" name="Line 91"/>
        <xdr:cNvSpPr>
          <a:spLocks noChangeShapeType="1"/>
        </xdr:cNvSpPr>
      </xdr:nvSpPr>
      <xdr:spPr bwMode="auto">
        <a:xfrm>
          <a:off x="5629275" y="1219200"/>
          <a:ext cx="0" cy="1333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419100</xdr:colOff>
      <xdr:row>7</xdr:row>
      <xdr:rowOff>0</xdr:rowOff>
    </xdr:from>
    <xdr:to>
      <xdr:col>9</xdr:col>
      <xdr:colOff>485775</xdr:colOff>
      <xdr:row>7</xdr:row>
      <xdr:rowOff>0</xdr:rowOff>
    </xdr:to>
    <xdr:sp macro="" textlink="">
      <xdr:nvSpPr>
        <xdr:cNvPr id="5142" name="Line 22"/>
        <xdr:cNvSpPr>
          <a:spLocks noChangeShapeType="1"/>
        </xdr:cNvSpPr>
      </xdr:nvSpPr>
      <xdr:spPr bwMode="auto">
        <a:xfrm flipH="1">
          <a:off x="4619625" y="1352550"/>
          <a:ext cx="12858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571500</xdr:colOff>
      <xdr:row>7</xdr:row>
      <xdr:rowOff>0</xdr:rowOff>
    </xdr:from>
    <xdr:to>
      <xdr:col>9</xdr:col>
      <xdr:colOff>9525</xdr:colOff>
      <xdr:row>7</xdr:row>
      <xdr:rowOff>0</xdr:rowOff>
    </xdr:to>
    <xdr:sp macro="" textlink="">
      <xdr:nvSpPr>
        <xdr:cNvPr id="5164" name="Line 44"/>
        <xdr:cNvSpPr>
          <a:spLocks noChangeShapeType="1"/>
        </xdr:cNvSpPr>
      </xdr:nvSpPr>
      <xdr:spPr bwMode="auto">
        <a:xfrm>
          <a:off x="4772025" y="1352550"/>
          <a:ext cx="65722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6</xdr:row>
      <xdr:rowOff>152400</xdr:rowOff>
    </xdr:from>
    <xdr:to>
      <xdr:col>9</xdr:col>
      <xdr:colOff>19050</xdr:colOff>
      <xdr:row>7</xdr:row>
      <xdr:rowOff>66675</xdr:rowOff>
    </xdr:to>
    <xdr:sp macro="" textlink="">
      <xdr:nvSpPr>
        <xdr:cNvPr id="5165" name="Line 45"/>
        <xdr:cNvSpPr>
          <a:spLocks noChangeShapeType="1"/>
        </xdr:cNvSpPr>
      </xdr:nvSpPr>
      <xdr:spPr bwMode="auto">
        <a:xfrm>
          <a:off x="5429250" y="1343025"/>
          <a:ext cx="9525" cy="7620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7</xdr:row>
      <xdr:rowOff>66675</xdr:rowOff>
    </xdr:from>
    <xdr:to>
      <xdr:col>9</xdr:col>
      <xdr:colOff>19050</xdr:colOff>
      <xdr:row>8</xdr:row>
      <xdr:rowOff>0</xdr:rowOff>
    </xdr:to>
    <xdr:sp macro="" textlink="">
      <xdr:nvSpPr>
        <xdr:cNvPr id="5166" name="Line 46"/>
        <xdr:cNvSpPr>
          <a:spLocks noChangeShapeType="1"/>
        </xdr:cNvSpPr>
      </xdr:nvSpPr>
      <xdr:spPr bwMode="auto">
        <a:xfrm flipH="1">
          <a:off x="4810125" y="1419225"/>
          <a:ext cx="628650" cy="9525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561975</xdr:colOff>
      <xdr:row>14</xdr:row>
      <xdr:rowOff>142875</xdr:rowOff>
    </xdr:from>
    <xdr:to>
      <xdr:col>9</xdr:col>
      <xdr:colOff>19050</xdr:colOff>
      <xdr:row>14</xdr:row>
      <xdr:rowOff>152400</xdr:rowOff>
    </xdr:to>
    <xdr:sp macro="" textlink="">
      <xdr:nvSpPr>
        <xdr:cNvPr id="5167" name="Line 47"/>
        <xdr:cNvSpPr>
          <a:spLocks noChangeShapeType="1"/>
        </xdr:cNvSpPr>
      </xdr:nvSpPr>
      <xdr:spPr bwMode="auto">
        <a:xfrm>
          <a:off x="4762500" y="3076575"/>
          <a:ext cx="676275" cy="95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571500</xdr:colOff>
      <xdr:row>7</xdr:row>
      <xdr:rowOff>9525</xdr:rowOff>
    </xdr:from>
    <xdr:to>
      <xdr:col>7</xdr:col>
      <xdr:colOff>571500</xdr:colOff>
      <xdr:row>14</xdr:row>
      <xdr:rowOff>152400</xdr:rowOff>
    </xdr:to>
    <xdr:sp macro="" textlink="">
      <xdr:nvSpPr>
        <xdr:cNvPr id="5168" name="Line 48"/>
        <xdr:cNvSpPr>
          <a:spLocks noChangeShapeType="1"/>
        </xdr:cNvSpPr>
      </xdr:nvSpPr>
      <xdr:spPr bwMode="auto">
        <a:xfrm>
          <a:off x="4772025" y="1362075"/>
          <a:ext cx="0" cy="17240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638175</xdr:colOff>
      <xdr:row>7</xdr:row>
      <xdr:rowOff>142875</xdr:rowOff>
    </xdr:from>
    <xdr:to>
      <xdr:col>7</xdr:col>
      <xdr:colOff>638175</xdr:colOff>
      <xdr:row>14</xdr:row>
      <xdr:rowOff>0</xdr:rowOff>
    </xdr:to>
    <xdr:sp macro="" textlink="">
      <xdr:nvSpPr>
        <xdr:cNvPr id="5169" name="Line 49"/>
        <xdr:cNvSpPr>
          <a:spLocks noChangeShapeType="1"/>
        </xdr:cNvSpPr>
      </xdr:nvSpPr>
      <xdr:spPr bwMode="auto">
        <a:xfrm flipH="1">
          <a:off x="4810125" y="1495425"/>
          <a:ext cx="0" cy="143827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638175</xdr:colOff>
      <xdr:row>13</xdr:row>
      <xdr:rowOff>171450</xdr:rowOff>
    </xdr:from>
    <xdr:to>
      <xdr:col>9</xdr:col>
      <xdr:colOff>0</xdr:colOff>
      <xdr:row>14</xdr:row>
      <xdr:rowOff>76200</xdr:rowOff>
    </xdr:to>
    <xdr:sp macro="" textlink="">
      <xdr:nvSpPr>
        <xdr:cNvPr id="5170" name="Line 50"/>
        <xdr:cNvSpPr>
          <a:spLocks noChangeShapeType="1"/>
        </xdr:cNvSpPr>
      </xdr:nvSpPr>
      <xdr:spPr bwMode="auto">
        <a:xfrm>
          <a:off x="4810125" y="2905125"/>
          <a:ext cx="609600" cy="10477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14</xdr:row>
      <xdr:rowOff>85725</xdr:rowOff>
    </xdr:from>
    <xdr:to>
      <xdr:col>9</xdr:col>
      <xdr:colOff>9525</xdr:colOff>
      <xdr:row>14</xdr:row>
      <xdr:rowOff>123825</xdr:rowOff>
    </xdr:to>
    <xdr:sp macro="" textlink="">
      <xdr:nvSpPr>
        <xdr:cNvPr id="5171" name="Line 51"/>
        <xdr:cNvSpPr>
          <a:spLocks noChangeShapeType="1"/>
        </xdr:cNvSpPr>
      </xdr:nvSpPr>
      <xdr:spPr bwMode="auto">
        <a:xfrm>
          <a:off x="5429250" y="3019425"/>
          <a:ext cx="0" cy="3810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571500</xdr:colOff>
      <xdr:row>1</xdr:row>
      <xdr:rowOff>161925</xdr:rowOff>
    </xdr:from>
    <xdr:to>
      <xdr:col>7</xdr:col>
      <xdr:colOff>571500</xdr:colOff>
      <xdr:row>6</xdr:row>
      <xdr:rowOff>104775</xdr:rowOff>
    </xdr:to>
    <xdr:sp macro="" textlink="">
      <xdr:nvSpPr>
        <xdr:cNvPr id="5172" name="Line 52"/>
        <xdr:cNvSpPr>
          <a:spLocks noChangeShapeType="1"/>
        </xdr:cNvSpPr>
      </xdr:nvSpPr>
      <xdr:spPr bwMode="auto">
        <a:xfrm flipV="1">
          <a:off x="4772025" y="323850"/>
          <a:ext cx="0" cy="9715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</xdr:row>
      <xdr:rowOff>180975</xdr:rowOff>
    </xdr:from>
    <xdr:to>
      <xdr:col>9</xdr:col>
      <xdr:colOff>9525</xdr:colOff>
      <xdr:row>6</xdr:row>
      <xdr:rowOff>104775</xdr:rowOff>
    </xdr:to>
    <xdr:sp macro="" textlink="">
      <xdr:nvSpPr>
        <xdr:cNvPr id="5173" name="Line 53"/>
        <xdr:cNvSpPr>
          <a:spLocks noChangeShapeType="1"/>
        </xdr:cNvSpPr>
      </xdr:nvSpPr>
      <xdr:spPr bwMode="auto">
        <a:xfrm flipH="1" flipV="1">
          <a:off x="5419725" y="342900"/>
          <a:ext cx="9525" cy="95250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581025</xdr:colOff>
      <xdr:row>2</xdr:row>
      <xdr:rowOff>47625</xdr:rowOff>
    </xdr:from>
    <xdr:to>
      <xdr:col>9</xdr:col>
      <xdr:colOff>9525</xdr:colOff>
      <xdr:row>2</xdr:row>
      <xdr:rowOff>57150</xdr:rowOff>
    </xdr:to>
    <xdr:sp macro="" textlink="">
      <xdr:nvSpPr>
        <xdr:cNvPr id="5174" name="Line 54"/>
        <xdr:cNvSpPr>
          <a:spLocks noChangeShapeType="1"/>
        </xdr:cNvSpPr>
      </xdr:nvSpPr>
      <xdr:spPr bwMode="auto">
        <a:xfrm>
          <a:off x="4781550" y="409575"/>
          <a:ext cx="647700" cy="95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266700</xdr:colOff>
      <xdr:row>6</xdr:row>
      <xdr:rowOff>152400</xdr:rowOff>
    </xdr:from>
    <xdr:to>
      <xdr:col>8</xdr:col>
      <xdr:colOff>361950</xdr:colOff>
      <xdr:row>7</xdr:row>
      <xdr:rowOff>104775</xdr:rowOff>
    </xdr:to>
    <xdr:sp macro="" textlink="">
      <xdr:nvSpPr>
        <xdr:cNvPr id="5175" name="Rectangle 55"/>
        <xdr:cNvSpPr>
          <a:spLocks noChangeArrowheads="1"/>
        </xdr:cNvSpPr>
      </xdr:nvSpPr>
      <xdr:spPr bwMode="auto">
        <a:xfrm>
          <a:off x="5076825" y="1343025"/>
          <a:ext cx="95250" cy="1143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323850</xdr:colOff>
      <xdr:row>4</xdr:row>
      <xdr:rowOff>9525</xdr:rowOff>
    </xdr:from>
    <xdr:to>
      <xdr:col>8</xdr:col>
      <xdr:colOff>333375</xdr:colOff>
      <xdr:row>8</xdr:row>
      <xdr:rowOff>0</xdr:rowOff>
    </xdr:to>
    <xdr:sp macro="" textlink="">
      <xdr:nvSpPr>
        <xdr:cNvPr id="5176" name="Line 56"/>
        <xdr:cNvSpPr>
          <a:spLocks noChangeShapeType="1"/>
        </xdr:cNvSpPr>
      </xdr:nvSpPr>
      <xdr:spPr bwMode="auto">
        <a:xfrm flipH="1" flipV="1">
          <a:off x="5133975" y="771525"/>
          <a:ext cx="9525" cy="7429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lgDashDot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561975</xdr:colOff>
      <xdr:row>4</xdr:row>
      <xdr:rowOff>38100</xdr:rowOff>
    </xdr:from>
    <xdr:to>
      <xdr:col>8</xdr:col>
      <xdr:colOff>304800</xdr:colOff>
      <xdr:row>4</xdr:row>
      <xdr:rowOff>38100</xdr:rowOff>
    </xdr:to>
    <xdr:sp macro="" textlink="">
      <xdr:nvSpPr>
        <xdr:cNvPr id="5177" name="Line 57"/>
        <xdr:cNvSpPr>
          <a:spLocks noChangeShapeType="1"/>
        </xdr:cNvSpPr>
      </xdr:nvSpPr>
      <xdr:spPr bwMode="auto">
        <a:xfrm>
          <a:off x="4762500" y="800100"/>
          <a:ext cx="35242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419100</xdr:colOff>
      <xdr:row>7</xdr:row>
      <xdr:rowOff>0</xdr:rowOff>
    </xdr:from>
    <xdr:to>
      <xdr:col>7</xdr:col>
      <xdr:colOff>485775</xdr:colOff>
      <xdr:row>7</xdr:row>
      <xdr:rowOff>0</xdr:rowOff>
    </xdr:to>
    <xdr:sp macro="" textlink="">
      <xdr:nvSpPr>
        <xdr:cNvPr id="5178" name="Line 58"/>
        <xdr:cNvSpPr>
          <a:spLocks noChangeShapeType="1"/>
        </xdr:cNvSpPr>
      </xdr:nvSpPr>
      <xdr:spPr bwMode="auto">
        <a:xfrm flipH="1">
          <a:off x="3124200" y="1352550"/>
          <a:ext cx="15621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447675</xdr:colOff>
      <xdr:row>14</xdr:row>
      <xdr:rowOff>152400</xdr:rowOff>
    </xdr:from>
    <xdr:to>
      <xdr:col>7</xdr:col>
      <xdr:colOff>466725</xdr:colOff>
      <xdr:row>14</xdr:row>
      <xdr:rowOff>152400</xdr:rowOff>
    </xdr:to>
    <xdr:sp macro="" textlink="">
      <xdr:nvSpPr>
        <xdr:cNvPr id="5179" name="Line 59"/>
        <xdr:cNvSpPr>
          <a:spLocks noChangeShapeType="1"/>
        </xdr:cNvSpPr>
      </xdr:nvSpPr>
      <xdr:spPr bwMode="auto">
        <a:xfrm flipH="1">
          <a:off x="3152775" y="3086100"/>
          <a:ext cx="15144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533400</xdr:colOff>
      <xdr:row>6</xdr:row>
      <xdr:rowOff>152400</xdr:rowOff>
    </xdr:from>
    <xdr:to>
      <xdr:col>5</xdr:col>
      <xdr:colOff>533400</xdr:colOff>
      <xdr:row>14</xdr:row>
      <xdr:rowOff>142875</xdr:rowOff>
    </xdr:to>
    <xdr:sp macro="" textlink="">
      <xdr:nvSpPr>
        <xdr:cNvPr id="5180" name="Line 60"/>
        <xdr:cNvSpPr>
          <a:spLocks noChangeShapeType="1"/>
        </xdr:cNvSpPr>
      </xdr:nvSpPr>
      <xdr:spPr bwMode="auto">
        <a:xfrm flipV="1">
          <a:off x="3238500" y="1343025"/>
          <a:ext cx="0" cy="17335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180975</xdr:colOff>
      <xdr:row>12</xdr:row>
      <xdr:rowOff>85725</xdr:rowOff>
    </xdr:from>
    <xdr:to>
      <xdr:col>7</xdr:col>
      <xdr:colOff>561975</xdr:colOff>
      <xdr:row>12</xdr:row>
      <xdr:rowOff>85725</xdr:rowOff>
    </xdr:to>
    <xdr:sp macro="" textlink="">
      <xdr:nvSpPr>
        <xdr:cNvPr id="5181" name="Line 61"/>
        <xdr:cNvSpPr>
          <a:spLocks noChangeShapeType="1"/>
        </xdr:cNvSpPr>
      </xdr:nvSpPr>
      <xdr:spPr bwMode="auto">
        <a:xfrm>
          <a:off x="4381500" y="2619375"/>
          <a:ext cx="3810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12</xdr:row>
      <xdr:rowOff>85725</xdr:rowOff>
    </xdr:from>
    <xdr:to>
      <xdr:col>8</xdr:col>
      <xdr:colOff>304800</xdr:colOff>
      <xdr:row>12</xdr:row>
      <xdr:rowOff>85725</xdr:rowOff>
    </xdr:to>
    <xdr:sp macro="" textlink="">
      <xdr:nvSpPr>
        <xdr:cNvPr id="5182" name="Line 62"/>
        <xdr:cNvSpPr>
          <a:spLocks noChangeShapeType="1"/>
        </xdr:cNvSpPr>
      </xdr:nvSpPr>
      <xdr:spPr bwMode="auto">
        <a:xfrm>
          <a:off x="4810125" y="2619375"/>
          <a:ext cx="3048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180975</xdr:colOff>
      <xdr:row>8</xdr:row>
      <xdr:rowOff>19050</xdr:rowOff>
    </xdr:from>
    <xdr:to>
      <xdr:col>7</xdr:col>
      <xdr:colOff>476250</xdr:colOff>
      <xdr:row>8</xdr:row>
      <xdr:rowOff>19050</xdr:rowOff>
    </xdr:to>
    <xdr:sp macro="" textlink="">
      <xdr:nvSpPr>
        <xdr:cNvPr id="5183" name="Line 63"/>
        <xdr:cNvSpPr>
          <a:spLocks noChangeShapeType="1"/>
        </xdr:cNvSpPr>
      </xdr:nvSpPr>
      <xdr:spPr bwMode="auto">
        <a:xfrm flipH="1">
          <a:off x="3771900" y="1533525"/>
          <a:ext cx="9048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219075</xdr:colOff>
      <xdr:row>8</xdr:row>
      <xdr:rowOff>28575</xdr:rowOff>
    </xdr:from>
    <xdr:to>
      <xdr:col>6</xdr:col>
      <xdr:colOff>219075</xdr:colOff>
      <xdr:row>8</xdr:row>
      <xdr:rowOff>257175</xdr:rowOff>
    </xdr:to>
    <xdr:sp macro="" textlink="">
      <xdr:nvSpPr>
        <xdr:cNvPr id="5184" name="Line 64"/>
        <xdr:cNvSpPr>
          <a:spLocks noChangeShapeType="1"/>
        </xdr:cNvSpPr>
      </xdr:nvSpPr>
      <xdr:spPr bwMode="auto">
        <a:xfrm>
          <a:off x="3810000" y="1543050"/>
          <a:ext cx="0" cy="22860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228600</xdr:colOff>
      <xdr:row>5</xdr:row>
      <xdr:rowOff>76200</xdr:rowOff>
    </xdr:from>
    <xdr:to>
      <xdr:col>6</xdr:col>
      <xdr:colOff>228600</xdr:colOff>
      <xdr:row>6</xdr:row>
      <xdr:rowOff>142875</xdr:rowOff>
    </xdr:to>
    <xdr:sp macro="" textlink="">
      <xdr:nvSpPr>
        <xdr:cNvPr id="5185" name="Line 65"/>
        <xdr:cNvSpPr>
          <a:spLocks noChangeShapeType="1"/>
        </xdr:cNvSpPr>
      </xdr:nvSpPr>
      <xdr:spPr bwMode="auto">
        <a:xfrm flipV="1">
          <a:off x="3819525" y="1038225"/>
          <a:ext cx="0" cy="29527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5</xdr:row>
      <xdr:rowOff>76200</xdr:rowOff>
    </xdr:from>
    <xdr:to>
      <xdr:col>6</xdr:col>
      <xdr:colOff>219075</xdr:colOff>
      <xdr:row>5</xdr:row>
      <xdr:rowOff>85725</xdr:rowOff>
    </xdr:to>
    <xdr:sp macro="" textlink="">
      <xdr:nvSpPr>
        <xdr:cNvPr id="5186" name="Line 66"/>
        <xdr:cNvSpPr>
          <a:spLocks noChangeShapeType="1"/>
        </xdr:cNvSpPr>
      </xdr:nvSpPr>
      <xdr:spPr bwMode="auto">
        <a:xfrm>
          <a:off x="3600450" y="1038225"/>
          <a:ext cx="209550" cy="95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95250</xdr:colOff>
      <xdr:row>6</xdr:row>
      <xdr:rowOff>152400</xdr:rowOff>
    </xdr:from>
    <xdr:to>
      <xdr:col>10</xdr:col>
      <xdr:colOff>314325</xdr:colOff>
      <xdr:row>7</xdr:row>
      <xdr:rowOff>0</xdr:rowOff>
    </xdr:to>
    <xdr:sp macro="" textlink="">
      <xdr:nvSpPr>
        <xdr:cNvPr id="5187" name="Line 67"/>
        <xdr:cNvSpPr>
          <a:spLocks noChangeShapeType="1"/>
        </xdr:cNvSpPr>
      </xdr:nvSpPr>
      <xdr:spPr bwMode="auto">
        <a:xfrm flipV="1">
          <a:off x="5514975" y="1343025"/>
          <a:ext cx="904875" cy="95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276225</xdr:colOff>
      <xdr:row>7</xdr:row>
      <xdr:rowOff>123825</xdr:rowOff>
    </xdr:from>
    <xdr:to>
      <xdr:col>9</xdr:col>
      <xdr:colOff>619125</xdr:colOff>
      <xdr:row>7</xdr:row>
      <xdr:rowOff>123825</xdr:rowOff>
    </xdr:to>
    <xdr:sp macro="" textlink="">
      <xdr:nvSpPr>
        <xdr:cNvPr id="5188" name="Line 68"/>
        <xdr:cNvSpPr>
          <a:spLocks noChangeShapeType="1"/>
        </xdr:cNvSpPr>
      </xdr:nvSpPr>
      <xdr:spPr bwMode="auto">
        <a:xfrm>
          <a:off x="5086350" y="1476375"/>
          <a:ext cx="9525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514350</xdr:colOff>
      <xdr:row>5</xdr:row>
      <xdr:rowOff>114300</xdr:rowOff>
    </xdr:from>
    <xdr:to>
      <xdr:col>9</xdr:col>
      <xdr:colOff>514350</xdr:colOff>
      <xdr:row>6</xdr:row>
      <xdr:rowOff>152400</xdr:rowOff>
    </xdr:to>
    <xdr:sp macro="" textlink="">
      <xdr:nvSpPr>
        <xdr:cNvPr id="5189" name="Line 69"/>
        <xdr:cNvSpPr>
          <a:spLocks noChangeShapeType="1"/>
        </xdr:cNvSpPr>
      </xdr:nvSpPr>
      <xdr:spPr bwMode="auto">
        <a:xfrm flipV="1">
          <a:off x="5934075" y="1076325"/>
          <a:ext cx="0" cy="26670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523875</xdr:colOff>
      <xdr:row>7</xdr:row>
      <xdr:rowOff>133350</xdr:rowOff>
    </xdr:from>
    <xdr:to>
      <xdr:col>9</xdr:col>
      <xdr:colOff>523875</xdr:colOff>
      <xdr:row>9</xdr:row>
      <xdr:rowOff>0</xdr:rowOff>
    </xdr:to>
    <xdr:sp macro="" textlink="">
      <xdr:nvSpPr>
        <xdr:cNvPr id="5190" name="Line 70"/>
        <xdr:cNvSpPr>
          <a:spLocks noChangeShapeType="1"/>
        </xdr:cNvSpPr>
      </xdr:nvSpPr>
      <xdr:spPr bwMode="auto">
        <a:xfrm>
          <a:off x="5943600" y="1485900"/>
          <a:ext cx="0" cy="3238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523875</xdr:colOff>
      <xdr:row>5</xdr:row>
      <xdr:rowOff>104775</xdr:rowOff>
    </xdr:from>
    <xdr:to>
      <xdr:col>10</xdr:col>
      <xdr:colOff>66675</xdr:colOff>
      <xdr:row>5</xdr:row>
      <xdr:rowOff>104775</xdr:rowOff>
    </xdr:to>
    <xdr:sp macro="" textlink="">
      <xdr:nvSpPr>
        <xdr:cNvPr id="5191" name="Line 71"/>
        <xdr:cNvSpPr>
          <a:spLocks noChangeShapeType="1"/>
        </xdr:cNvSpPr>
      </xdr:nvSpPr>
      <xdr:spPr bwMode="auto">
        <a:xfrm>
          <a:off x="5943600" y="1066800"/>
          <a:ext cx="2286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457200</xdr:colOff>
      <xdr:row>9</xdr:row>
      <xdr:rowOff>152400</xdr:rowOff>
    </xdr:from>
    <xdr:to>
      <xdr:col>10</xdr:col>
      <xdr:colOff>314325</xdr:colOff>
      <xdr:row>9</xdr:row>
      <xdr:rowOff>152400</xdr:rowOff>
    </xdr:to>
    <xdr:sp macro="" textlink="">
      <xdr:nvSpPr>
        <xdr:cNvPr id="5192" name="Line 72"/>
        <xdr:cNvSpPr>
          <a:spLocks noChangeShapeType="1"/>
        </xdr:cNvSpPr>
      </xdr:nvSpPr>
      <xdr:spPr bwMode="auto">
        <a:xfrm>
          <a:off x="4657725" y="1962150"/>
          <a:ext cx="176212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lgDashDot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561975</xdr:colOff>
      <xdr:row>9</xdr:row>
      <xdr:rowOff>38100</xdr:rowOff>
    </xdr:from>
    <xdr:to>
      <xdr:col>8</xdr:col>
      <xdr:colOff>0</xdr:colOff>
      <xdr:row>9</xdr:row>
      <xdr:rowOff>257175</xdr:rowOff>
    </xdr:to>
    <xdr:sp macro="" textlink="">
      <xdr:nvSpPr>
        <xdr:cNvPr id="5193" name="Rectangle 73"/>
        <xdr:cNvSpPr>
          <a:spLocks noChangeArrowheads="1"/>
        </xdr:cNvSpPr>
      </xdr:nvSpPr>
      <xdr:spPr bwMode="auto">
        <a:xfrm>
          <a:off x="4762500" y="1847850"/>
          <a:ext cx="47625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219075</xdr:colOff>
      <xdr:row>9</xdr:row>
      <xdr:rowOff>28575</xdr:rowOff>
    </xdr:from>
    <xdr:to>
      <xdr:col>10</xdr:col>
      <xdr:colOff>219075</xdr:colOff>
      <xdr:row>9</xdr:row>
      <xdr:rowOff>152400</xdr:rowOff>
    </xdr:to>
    <xdr:sp macro="" textlink="">
      <xdr:nvSpPr>
        <xdr:cNvPr id="5194" name="Line 74"/>
        <xdr:cNvSpPr>
          <a:spLocks noChangeShapeType="1"/>
        </xdr:cNvSpPr>
      </xdr:nvSpPr>
      <xdr:spPr bwMode="auto">
        <a:xfrm flipV="1">
          <a:off x="6324600" y="1838325"/>
          <a:ext cx="0" cy="1238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219075</xdr:colOff>
      <xdr:row>7</xdr:row>
      <xdr:rowOff>0</xdr:rowOff>
    </xdr:from>
    <xdr:to>
      <xdr:col>10</xdr:col>
      <xdr:colOff>219075</xdr:colOff>
      <xdr:row>8</xdr:row>
      <xdr:rowOff>66675</xdr:rowOff>
    </xdr:to>
    <xdr:sp macro="" textlink="">
      <xdr:nvSpPr>
        <xdr:cNvPr id="5195" name="Line 75"/>
        <xdr:cNvSpPr>
          <a:spLocks noChangeShapeType="1"/>
        </xdr:cNvSpPr>
      </xdr:nvSpPr>
      <xdr:spPr bwMode="auto">
        <a:xfrm>
          <a:off x="6324600" y="1352550"/>
          <a:ext cx="0" cy="22860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419100</xdr:colOff>
      <xdr:row>7</xdr:row>
      <xdr:rowOff>0</xdr:rowOff>
    </xdr:from>
    <xdr:to>
      <xdr:col>9</xdr:col>
      <xdr:colOff>485775</xdr:colOff>
      <xdr:row>7</xdr:row>
      <xdr:rowOff>0</xdr:rowOff>
    </xdr:to>
    <xdr:sp macro="" textlink="">
      <xdr:nvSpPr>
        <xdr:cNvPr id="6146" name="Line 2"/>
        <xdr:cNvSpPr>
          <a:spLocks noChangeShapeType="1"/>
        </xdr:cNvSpPr>
      </xdr:nvSpPr>
      <xdr:spPr bwMode="auto">
        <a:xfrm flipH="1">
          <a:off x="4600575" y="1514475"/>
          <a:ext cx="12858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571500</xdr:colOff>
      <xdr:row>7</xdr:row>
      <xdr:rowOff>0</xdr:rowOff>
    </xdr:from>
    <xdr:to>
      <xdr:col>9</xdr:col>
      <xdr:colOff>9525</xdr:colOff>
      <xdr:row>7</xdr:row>
      <xdr:rowOff>0</xdr:rowOff>
    </xdr:to>
    <xdr:sp macro="" textlink="">
      <xdr:nvSpPr>
        <xdr:cNvPr id="6147" name="Line 3"/>
        <xdr:cNvSpPr>
          <a:spLocks noChangeShapeType="1"/>
        </xdr:cNvSpPr>
      </xdr:nvSpPr>
      <xdr:spPr bwMode="auto">
        <a:xfrm>
          <a:off x="4752975" y="1514475"/>
          <a:ext cx="65722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6</xdr:row>
      <xdr:rowOff>152400</xdr:rowOff>
    </xdr:from>
    <xdr:to>
      <xdr:col>9</xdr:col>
      <xdr:colOff>19050</xdr:colOff>
      <xdr:row>7</xdr:row>
      <xdr:rowOff>66675</xdr:rowOff>
    </xdr:to>
    <xdr:sp macro="" textlink="">
      <xdr:nvSpPr>
        <xdr:cNvPr id="6148" name="Line 4"/>
        <xdr:cNvSpPr>
          <a:spLocks noChangeShapeType="1"/>
        </xdr:cNvSpPr>
      </xdr:nvSpPr>
      <xdr:spPr bwMode="auto">
        <a:xfrm>
          <a:off x="5410200" y="1504950"/>
          <a:ext cx="9525" cy="7620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7</xdr:row>
      <xdr:rowOff>66675</xdr:rowOff>
    </xdr:from>
    <xdr:to>
      <xdr:col>9</xdr:col>
      <xdr:colOff>19050</xdr:colOff>
      <xdr:row>8</xdr:row>
      <xdr:rowOff>0</xdr:rowOff>
    </xdr:to>
    <xdr:sp macro="" textlink="">
      <xdr:nvSpPr>
        <xdr:cNvPr id="6149" name="Line 5"/>
        <xdr:cNvSpPr>
          <a:spLocks noChangeShapeType="1"/>
        </xdr:cNvSpPr>
      </xdr:nvSpPr>
      <xdr:spPr bwMode="auto">
        <a:xfrm flipH="1">
          <a:off x="4791075" y="1581150"/>
          <a:ext cx="628650" cy="9525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561975</xdr:colOff>
      <xdr:row>14</xdr:row>
      <xdr:rowOff>142875</xdr:rowOff>
    </xdr:from>
    <xdr:to>
      <xdr:col>9</xdr:col>
      <xdr:colOff>19050</xdr:colOff>
      <xdr:row>14</xdr:row>
      <xdr:rowOff>152400</xdr:rowOff>
    </xdr:to>
    <xdr:sp macro="" textlink="">
      <xdr:nvSpPr>
        <xdr:cNvPr id="6150" name="Line 6"/>
        <xdr:cNvSpPr>
          <a:spLocks noChangeShapeType="1"/>
        </xdr:cNvSpPr>
      </xdr:nvSpPr>
      <xdr:spPr bwMode="auto">
        <a:xfrm>
          <a:off x="4743450" y="2981325"/>
          <a:ext cx="676275" cy="95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571500</xdr:colOff>
      <xdr:row>7</xdr:row>
      <xdr:rowOff>9525</xdr:rowOff>
    </xdr:from>
    <xdr:to>
      <xdr:col>7</xdr:col>
      <xdr:colOff>571500</xdr:colOff>
      <xdr:row>14</xdr:row>
      <xdr:rowOff>152400</xdr:rowOff>
    </xdr:to>
    <xdr:sp macro="" textlink="">
      <xdr:nvSpPr>
        <xdr:cNvPr id="6151" name="Line 7"/>
        <xdr:cNvSpPr>
          <a:spLocks noChangeShapeType="1"/>
        </xdr:cNvSpPr>
      </xdr:nvSpPr>
      <xdr:spPr bwMode="auto">
        <a:xfrm>
          <a:off x="4752975" y="1524000"/>
          <a:ext cx="0" cy="146685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638175</xdr:colOff>
      <xdr:row>7</xdr:row>
      <xdr:rowOff>142875</xdr:rowOff>
    </xdr:from>
    <xdr:to>
      <xdr:col>7</xdr:col>
      <xdr:colOff>638175</xdr:colOff>
      <xdr:row>14</xdr:row>
      <xdr:rowOff>0</xdr:rowOff>
    </xdr:to>
    <xdr:sp macro="" textlink="">
      <xdr:nvSpPr>
        <xdr:cNvPr id="6152" name="Line 8"/>
        <xdr:cNvSpPr>
          <a:spLocks noChangeShapeType="1"/>
        </xdr:cNvSpPr>
      </xdr:nvSpPr>
      <xdr:spPr bwMode="auto">
        <a:xfrm flipH="1">
          <a:off x="4791075" y="1657350"/>
          <a:ext cx="0" cy="118110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638175</xdr:colOff>
      <xdr:row>13</xdr:row>
      <xdr:rowOff>171450</xdr:rowOff>
    </xdr:from>
    <xdr:to>
      <xdr:col>9</xdr:col>
      <xdr:colOff>0</xdr:colOff>
      <xdr:row>14</xdr:row>
      <xdr:rowOff>76200</xdr:rowOff>
    </xdr:to>
    <xdr:sp macro="" textlink="">
      <xdr:nvSpPr>
        <xdr:cNvPr id="6153" name="Line 9"/>
        <xdr:cNvSpPr>
          <a:spLocks noChangeShapeType="1"/>
        </xdr:cNvSpPr>
      </xdr:nvSpPr>
      <xdr:spPr bwMode="auto">
        <a:xfrm>
          <a:off x="4791075" y="2809875"/>
          <a:ext cx="609600" cy="10477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14</xdr:row>
      <xdr:rowOff>85725</xdr:rowOff>
    </xdr:from>
    <xdr:to>
      <xdr:col>9</xdr:col>
      <xdr:colOff>9525</xdr:colOff>
      <xdr:row>14</xdr:row>
      <xdr:rowOff>123825</xdr:rowOff>
    </xdr:to>
    <xdr:sp macro="" textlink="">
      <xdr:nvSpPr>
        <xdr:cNvPr id="6154" name="Line 10"/>
        <xdr:cNvSpPr>
          <a:spLocks noChangeShapeType="1"/>
        </xdr:cNvSpPr>
      </xdr:nvSpPr>
      <xdr:spPr bwMode="auto">
        <a:xfrm>
          <a:off x="5410200" y="2924175"/>
          <a:ext cx="0" cy="3810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571500</xdr:colOff>
      <xdr:row>1</xdr:row>
      <xdr:rowOff>161925</xdr:rowOff>
    </xdr:from>
    <xdr:to>
      <xdr:col>7</xdr:col>
      <xdr:colOff>571500</xdr:colOff>
      <xdr:row>6</xdr:row>
      <xdr:rowOff>104775</xdr:rowOff>
    </xdr:to>
    <xdr:sp macro="" textlink="">
      <xdr:nvSpPr>
        <xdr:cNvPr id="6155" name="Line 11"/>
        <xdr:cNvSpPr>
          <a:spLocks noChangeShapeType="1"/>
        </xdr:cNvSpPr>
      </xdr:nvSpPr>
      <xdr:spPr bwMode="auto">
        <a:xfrm flipV="1">
          <a:off x="4752975" y="323850"/>
          <a:ext cx="0" cy="113347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</xdr:row>
      <xdr:rowOff>180975</xdr:rowOff>
    </xdr:from>
    <xdr:to>
      <xdr:col>9</xdr:col>
      <xdr:colOff>9525</xdr:colOff>
      <xdr:row>6</xdr:row>
      <xdr:rowOff>104775</xdr:rowOff>
    </xdr:to>
    <xdr:sp macro="" textlink="">
      <xdr:nvSpPr>
        <xdr:cNvPr id="6156" name="Line 12"/>
        <xdr:cNvSpPr>
          <a:spLocks noChangeShapeType="1"/>
        </xdr:cNvSpPr>
      </xdr:nvSpPr>
      <xdr:spPr bwMode="auto">
        <a:xfrm flipH="1" flipV="1">
          <a:off x="5400675" y="342900"/>
          <a:ext cx="9525" cy="11144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581025</xdr:colOff>
      <xdr:row>2</xdr:row>
      <xdr:rowOff>47625</xdr:rowOff>
    </xdr:from>
    <xdr:to>
      <xdr:col>9</xdr:col>
      <xdr:colOff>9525</xdr:colOff>
      <xdr:row>2</xdr:row>
      <xdr:rowOff>57150</xdr:rowOff>
    </xdr:to>
    <xdr:sp macro="" textlink="">
      <xdr:nvSpPr>
        <xdr:cNvPr id="6157" name="Line 13"/>
        <xdr:cNvSpPr>
          <a:spLocks noChangeShapeType="1"/>
        </xdr:cNvSpPr>
      </xdr:nvSpPr>
      <xdr:spPr bwMode="auto">
        <a:xfrm>
          <a:off x="4762500" y="409575"/>
          <a:ext cx="647700" cy="95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266700</xdr:colOff>
      <xdr:row>6</xdr:row>
      <xdr:rowOff>152400</xdr:rowOff>
    </xdr:from>
    <xdr:to>
      <xdr:col>8</xdr:col>
      <xdr:colOff>361950</xdr:colOff>
      <xdr:row>7</xdr:row>
      <xdr:rowOff>104775</xdr:rowOff>
    </xdr:to>
    <xdr:sp macro="" textlink="">
      <xdr:nvSpPr>
        <xdr:cNvPr id="6158" name="Rectangle 14"/>
        <xdr:cNvSpPr>
          <a:spLocks noChangeArrowheads="1"/>
        </xdr:cNvSpPr>
      </xdr:nvSpPr>
      <xdr:spPr bwMode="auto">
        <a:xfrm>
          <a:off x="5057775" y="1504950"/>
          <a:ext cx="95250" cy="1143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323850</xdr:colOff>
      <xdr:row>4</xdr:row>
      <xdr:rowOff>9525</xdr:rowOff>
    </xdr:from>
    <xdr:to>
      <xdr:col>8</xdr:col>
      <xdr:colOff>333375</xdr:colOff>
      <xdr:row>8</xdr:row>
      <xdr:rowOff>0</xdr:rowOff>
    </xdr:to>
    <xdr:sp macro="" textlink="">
      <xdr:nvSpPr>
        <xdr:cNvPr id="6159" name="Line 15"/>
        <xdr:cNvSpPr>
          <a:spLocks noChangeShapeType="1"/>
        </xdr:cNvSpPr>
      </xdr:nvSpPr>
      <xdr:spPr bwMode="auto">
        <a:xfrm flipH="1" flipV="1">
          <a:off x="5114925" y="866775"/>
          <a:ext cx="9525" cy="8096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lgDashDot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561975</xdr:colOff>
      <xdr:row>4</xdr:row>
      <xdr:rowOff>38100</xdr:rowOff>
    </xdr:from>
    <xdr:to>
      <xdr:col>8</xdr:col>
      <xdr:colOff>304800</xdr:colOff>
      <xdr:row>4</xdr:row>
      <xdr:rowOff>38100</xdr:rowOff>
    </xdr:to>
    <xdr:sp macro="" textlink="">
      <xdr:nvSpPr>
        <xdr:cNvPr id="6160" name="Line 16"/>
        <xdr:cNvSpPr>
          <a:spLocks noChangeShapeType="1"/>
        </xdr:cNvSpPr>
      </xdr:nvSpPr>
      <xdr:spPr bwMode="auto">
        <a:xfrm>
          <a:off x="4743450" y="895350"/>
          <a:ext cx="35242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419100</xdr:colOff>
      <xdr:row>7</xdr:row>
      <xdr:rowOff>0</xdr:rowOff>
    </xdr:from>
    <xdr:to>
      <xdr:col>7</xdr:col>
      <xdr:colOff>485775</xdr:colOff>
      <xdr:row>7</xdr:row>
      <xdr:rowOff>0</xdr:rowOff>
    </xdr:to>
    <xdr:sp macro="" textlink="">
      <xdr:nvSpPr>
        <xdr:cNvPr id="6161" name="Line 17"/>
        <xdr:cNvSpPr>
          <a:spLocks noChangeShapeType="1"/>
        </xdr:cNvSpPr>
      </xdr:nvSpPr>
      <xdr:spPr bwMode="auto">
        <a:xfrm flipH="1">
          <a:off x="3257550" y="1514475"/>
          <a:ext cx="14097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447675</xdr:colOff>
      <xdr:row>14</xdr:row>
      <xdr:rowOff>152400</xdr:rowOff>
    </xdr:from>
    <xdr:to>
      <xdr:col>7</xdr:col>
      <xdr:colOff>466725</xdr:colOff>
      <xdr:row>14</xdr:row>
      <xdr:rowOff>152400</xdr:rowOff>
    </xdr:to>
    <xdr:sp macro="" textlink="">
      <xdr:nvSpPr>
        <xdr:cNvPr id="6162" name="Line 18"/>
        <xdr:cNvSpPr>
          <a:spLocks noChangeShapeType="1"/>
        </xdr:cNvSpPr>
      </xdr:nvSpPr>
      <xdr:spPr bwMode="auto">
        <a:xfrm flipH="1">
          <a:off x="3286125" y="2990850"/>
          <a:ext cx="13620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523875</xdr:colOff>
      <xdr:row>6</xdr:row>
      <xdr:rowOff>152400</xdr:rowOff>
    </xdr:from>
    <xdr:to>
      <xdr:col>5</xdr:col>
      <xdr:colOff>523875</xdr:colOff>
      <xdr:row>14</xdr:row>
      <xdr:rowOff>142875</xdr:rowOff>
    </xdr:to>
    <xdr:sp macro="" textlink="">
      <xdr:nvSpPr>
        <xdr:cNvPr id="6163" name="Line 19"/>
        <xdr:cNvSpPr>
          <a:spLocks noChangeShapeType="1"/>
        </xdr:cNvSpPr>
      </xdr:nvSpPr>
      <xdr:spPr bwMode="auto">
        <a:xfrm flipV="1">
          <a:off x="3362325" y="1504950"/>
          <a:ext cx="0" cy="147637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180975</xdr:colOff>
      <xdr:row>12</xdr:row>
      <xdr:rowOff>85725</xdr:rowOff>
    </xdr:from>
    <xdr:to>
      <xdr:col>7</xdr:col>
      <xdr:colOff>561975</xdr:colOff>
      <xdr:row>12</xdr:row>
      <xdr:rowOff>85725</xdr:rowOff>
    </xdr:to>
    <xdr:sp macro="" textlink="">
      <xdr:nvSpPr>
        <xdr:cNvPr id="6164" name="Line 20"/>
        <xdr:cNvSpPr>
          <a:spLocks noChangeShapeType="1"/>
        </xdr:cNvSpPr>
      </xdr:nvSpPr>
      <xdr:spPr bwMode="auto">
        <a:xfrm>
          <a:off x="4362450" y="2524125"/>
          <a:ext cx="3810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12</xdr:row>
      <xdr:rowOff>85725</xdr:rowOff>
    </xdr:from>
    <xdr:to>
      <xdr:col>8</xdr:col>
      <xdr:colOff>304800</xdr:colOff>
      <xdr:row>12</xdr:row>
      <xdr:rowOff>85725</xdr:rowOff>
    </xdr:to>
    <xdr:sp macro="" textlink="">
      <xdr:nvSpPr>
        <xdr:cNvPr id="6165" name="Line 21"/>
        <xdr:cNvSpPr>
          <a:spLocks noChangeShapeType="1"/>
        </xdr:cNvSpPr>
      </xdr:nvSpPr>
      <xdr:spPr bwMode="auto">
        <a:xfrm>
          <a:off x="4791075" y="2524125"/>
          <a:ext cx="3048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180975</xdr:colOff>
      <xdr:row>8</xdr:row>
      <xdr:rowOff>19050</xdr:rowOff>
    </xdr:from>
    <xdr:to>
      <xdr:col>7</xdr:col>
      <xdr:colOff>476250</xdr:colOff>
      <xdr:row>8</xdr:row>
      <xdr:rowOff>19050</xdr:rowOff>
    </xdr:to>
    <xdr:sp macro="" textlink="">
      <xdr:nvSpPr>
        <xdr:cNvPr id="6166" name="Line 22"/>
        <xdr:cNvSpPr>
          <a:spLocks noChangeShapeType="1"/>
        </xdr:cNvSpPr>
      </xdr:nvSpPr>
      <xdr:spPr bwMode="auto">
        <a:xfrm flipH="1">
          <a:off x="3848100" y="1695450"/>
          <a:ext cx="80962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219075</xdr:colOff>
      <xdr:row>8</xdr:row>
      <xdr:rowOff>28575</xdr:rowOff>
    </xdr:from>
    <xdr:to>
      <xdr:col>6</xdr:col>
      <xdr:colOff>219075</xdr:colOff>
      <xdr:row>8</xdr:row>
      <xdr:rowOff>257175</xdr:rowOff>
    </xdr:to>
    <xdr:sp macro="" textlink="">
      <xdr:nvSpPr>
        <xdr:cNvPr id="6167" name="Line 23"/>
        <xdr:cNvSpPr>
          <a:spLocks noChangeShapeType="1"/>
        </xdr:cNvSpPr>
      </xdr:nvSpPr>
      <xdr:spPr bwMode="auto">
        <a:xfrm>
          <a:off x="3886200" y="1704975"/>
          <a:ext cx="0" cy="1714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228600</xdr:colOff>
      <xdr:row>5</xdr:row>
      <xdr:rowOff>76200</xdr:rowOff>
    </xdr:from>
    <xdr:to>
      <xdr:col>6</xdr:col>
      <xdr:colOff>228600</xdr:colOff>
      <xdr:row>6</xdr:row>
      <xdr:rowOff>142875</xdr:rowOff>
    </xdr:to>
    <xdr:sp macro="" textlink="">
      <xdr:nvSpPr>
        <xdr:cNvPr id="6168" name="Line 24"/>
        <xdr:cNvSpPr>
          <a:spLocks noChangeShapeType="1"/>
        </xdr:cNvSpPr>
      </xdr:nvSpPr>
      <xdr:spPr bwMode="auto">
        <a:xfrm flipV="1">
          <a:off x="3895725" y="1228725"/>
          <a:ext cx="0" cy="26670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752475</xdr:colOff>
      <xdr:row>5</xdr:row>
      <xdr:rowOff>76200</xdr:rowOff>
    </xdr:from>
    <xdr:to>
      <xdr:col>6</xdr:col>
      <xdr:colOff>219075</xdr:colOff>
      <xdr:row>5</xdr:row>
      <xdr:rowOff>85725</xdr:rowOff>
    </xdr:to>
    <xdr:sp macro="" textlink="">
      <xdr:nvSpPr>
        <xdr:cNvPr id="6169" name="Line 25"/>
        <xdr:cNvSpPr>
          <a:spLocks noChangeShapeType="1"/>
        </xdr:cNvSpPr>
      </xdr:nvSpPr>
      <xdr:spPr bwMode="auto">
        <a:xfrm>
          <a:off x="3590925" y="1228725"/>
          <a:ext cx="295275" cy="95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95250</xdr:colOff>
      <xdr:row>6</xdr:row>
      <xdr:rowOff>152400</xdr:rowOff>
    </xdr:from>
    <xdr:to>
      <xdr:col>10</xdr:col>
      <xdr:colOff>314325</xdr:colOff>
      <xdr:row>7</xdr:row>
      <xdr:rowOff>0</xdr:rowOff>
    </xdr:to>
    <xdr:sp macro="" textlink="">
      <xdr:nvSpPr>
        <xdr:cNvPr id="6170" name="Line 26"/>
        <xdr:cNvSpPr>
          <a:spLocks noChangeShapeType="1"/>
        </xdr:cNvSpPr>
      </xdr:nvSpPr>
      <xdr:spPr bwMode="auto">
        <a:xfrm flipV="1">
          <a:off x="5495925" y="1504950"/>
          <a:ext cx="828675" cy="95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276225</xdr:colOff>
      <xdr:row>7</xdr:row>
      <xdr:rowOff>123825</xdr:rowOff>
    </xdr:from>
    <xdr:to>
      <xdr:col>9</xdr:col>
      <xdr:colOff>619125</xdr:colOff>
      <xdr:row>7</xdr:row>
      <xdr:rowOff>123825</xdr:rowOff>
    </xdr:to>
    <xdr:sp macro="" textlink="">
      <xdr:nvSpPr>
        <xdr:cNvPr id="6171" name="Line 27"/>
        <xdr:cNvSpPr>
          <a:spLocks noChangeShapeType="1"/>
        </xdr:cNvSpPr>
      </xdr:nvSpPr>
      <xdr:spPr bwMode="auto">
        <a:xfrm>
          <a:off x="5067300" y="1638300"/>
          <a:ext cx="9429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514350</xdr:colOff>
      <xdr:row>5</xdr:row>
      <xdr:rowOff>114300</xdr:rowOff>
    </xdr:from>
    <xdr:to>
      <xdr:col>9</xdr:col>
      <xdr:colOff>514350</xdr:colOff>
      <xdr:row>6</xdr:row>
      <xdr:rowOff>152400</xdr:rowOff>
    </xdr:to>
    <xdr:sp macro="" textlink="">
      <xdr:nvSpPr>
        <xdr:cNvPr id="6172" name="Line 28"/>
        <xdr:cNvSpPr>
          <a:spLocks noChangeShapeType="1"/>
        </xdr:cNvSpPr>
      </xdr:nvSpPr>
      <xdr:spPr bwMode="auto">
        <a:xfrm flipV="1">
          <a:off x="5915025" y="1266825"/>
          <a:ext cx="0" cy="2381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523875</xdr:colOff>
      <xdr:row>7</xdr:row>
      <xdr:rowOff>133350</xdr:rowOff>
    </xdr:from>
    <xdr:to>
      <xdr:col>9</xdr:col>
      <xdr:colOff>523875</xdr:colOff>
      <xdr:row>9</xdr:row>
      <xdr:rowOff>0</xdr:rowOff>
    </xdr:to>
    <xdr:sp macro="" textlink="">
      <xdr:nvSpPr>
        <xdr:cNvPr id="6173" name="Line 29"/>
        <xdr:cNvSpPr>
          <a:spLocks noChangeShapeType="1"/>
        </xdr:cNvSpPr>
      </xdr:nvSpPr>
      <xdr:spPr bwMode="auto">
        <a:xfrm>
          <a:off x="5924550" y="1647825"/>
          <a:ext cx="0" cy="22860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523875</xdr:colOff>
      <xdr:row>5</xdr:row>
      <xdr:rowOff>104775</xdr:rowOff>
    </xdr:from>
    <xdr:to>
      <xdr:col>10</xdr:col>
      <xdr:colOff>66675</xdr:colOff>
      <xdr:row>5</xdr:row>
      <xdr:rowOff>104775</xdr:rowOff>
    </xdr:to>
    <xdr:sp macro="" textlink="">
      <xdr:nvSpPr>
        <xdr:cNvPr id="6174" name="Line 30"/>
        <xdr:cNvSpPr>
          <a:spLocks noChangeShapeType="1"/>
        </xdr:cNvSpPr>
      </xdr:nvSpPr>
      <xdr:spPr bwMode="auto">
        <a:xfrm>
          <a:off x="5924550" y="1257300"/>
          <a:ext cx="1524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457200</xdr:colOff>
      <xdr:row>9</xdr:row>
      <xdr:rowOff>152400</xdr:rowOff>
    </xdr:from>
    <xdr:to>
      <xdr:col>10</xdr:col>
      <xdr:colOff>314325</xdr:colOff>
      <xdr:row>9</xdr:row>
      <xdr:rowOff>152400</xdr:rowOff>
    </xdr:to>
    <xdr:sp macro="" textlink="">
      <xdr:nvSpPr>
        <xdr:cNvPr id="6175" name="Line 31"/>
        <xdr:cNvSpPr>
          <a:spLocks noChangeShapeType="1"/>
        </xdr:cNvSpPr>
      </xdr:nvSpPr>
      <xdr:spPr bwMode="auto">
        <a:xfrm>
          <a:off x="4638675" y="2028825"/>
          <a:ext cx="168592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lgDashDot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561975</xdr:colOff>
      <xdr:row>9</xdr:row>
      <xdr:rowOff>66675</xdr:rowOff>
    </xdr:from>
    <xdr:to>
      <xdr:col>8</xdr:col>
      <xdr:colOff>0</xdr:colOff>
      <xdr:row>10</xdr:row>
      <xdr:rowOff>66675</xdr:rowOff>
    </xdr:to>
    <xdr:sp macro="" textlink="">
      <xdr:nvSpPr>
        <xdr:cNvPr id="6176" name="Rectangle 32"/>
        <xdr:cNvSpPr>
          <a:spLocks noChangeArrowheads="1"/>
        </xdr:cNvSpPr>
      </xdr:nvSpPr>
      <xdr:spPr bwMode="auto">
        <a:xfrm>
          <a:off x="4743450" y="1943100"/>
          <a:ext cx="47625" cy="1619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219075</xdr:colOff>
      <xdr:row>9</xdr:row>
      <xdr:rowOff>28575</xdr:rowOff>
    </xdr:from>
    <xdr:to>
      <xdr:col>10</xdr:col>
      <xdr:colOff>219075</xdr:colOff>
      <xdr:row>9</xdr:row>
      <xdr:rowOff>152400</xdr:rowOff>
    </xdr:to>
    <xdr:sp macro="" textlink="">
      <xdr:nvSpPr>
        <xdr:cNvPr id="6177" name="Line 33"/>
        <xdr:cNvSpPr>
          <a:spLocks noChangeShapeType="1"/>
        </xdr:cNvSpPr>
      </xdr:nvSpPr>
      <xdr:spPr bwMode="auto">
        <a:xfrm flipV="1">
          <a:off x="6229350" y="1905000"/>
          <a:ext cx="0" cy="1238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219075</xdr:colOff>
      <xdr:row>7</xdr:row>
      <xdr:rowOff>0</xdr:rowOff>
    </xdr:from>
    <xdr:to>
      <xdr:col>10</xdr:col>
      <xdr:colOff>219075</xdr:colOff>
      <xdr:row>8</xdr:row>
      <xdr:rowOff>66675</xdr:rowOff>
    </xdr:to>
    <xdr:sp macro="" textlink="">
      <xdr:nvSpPr>
        <xdr:cNvPr id="6178" name="Line 34"/>
        <xdr:cNvSpPr>
          <a:spLocks noChangeShapeType="1"/>
        </xdr:cNvSpPr>
      </xdr:nvSpPr>
      <xdr:spPr bwMode="auto">
        <a:xfrm>
          <a:off x="6229350" y="1514475"/>
          <a:ext cx="0" cy="22860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</xdr:row>
      <xdr:rowOff>0</xdr:rowOff>
    </xdr:from>
    <xdr:to>
      <xdr:col>7</xdr:col>
      <xdr:colOff>323850</xdr:colOff>
      <xdr:row>5</xdr:row>
      <xdr:rowOff>0</xdr:rowOff>
    </xdr:to>
    <xdr:sp macro="" textlink="">
      <xdr:nvSpPr>
        <xdr:cNvPr id="9268" name="Line 52"/>
        <xdr:cNvSpPr>
          <a:spLocks noChangeShapeType="1"/>
        </xdr:cNvSpPr>
      </xdr:nvSpPr>
      <xdr:spPr bwMode="auto">
        <a:xfrm>
          <a:off x="3238500" y="904875"/>
          <a:ext cx="1047750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676275</xdr:colOff>
      <xdr:row>4</xdr:row>
      <xdr:rowOff>142875</xdr:rowOff>
    </xdr:from>
    <xdr:to>
      <xdr:col>5</xdr:col>
      <xdr:colOff>676275</xdr:colOff>
      <xdr:row>11</xdr:row>
      <xdr:rowOff>219075</xdr:rowOff>
    </xdr:to>
    <xdr:sp macro="" textlink="">
      <xdr:nvSpPr>
        <xdr:cNvPr id="9269" name="Line 53"/>
        <xdr:cNvSpPr>
          <a:spLocks noChangeShapeType="1"/>
        </xdr:cNvSpPr>
      </xdr:nvSpPr>
      <xdr:spPr bwMode="auto">
        <a:xfrm flipH="1">
          <a:off x="3228975" y="885825"/>
          <a:ext cx="0" cy="147637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676275</xdr:colOff>
      <xdr:row>11</xdr:row>
      <xdr:rowOff>209550</xdr:rowOff>
    </xdr:from>
    <xdr:to>
      <xdr:col>6</xdr:col>
      <xdr:colOff>152400</xdr:colOff>
      <xdr:row>11</xdr:row>
      <xdr:rowOff>209550</xdr:rowOff>
    </xdr:to>
    <xdr:sp macro="" textlink="">
      <xdr:nvSpPr>
        <xdr:cNvPr id="9270" name="Line 54"/>
        <xdr:cNvSpPr>
          <a:spLocks noChangeShapeType="1"/>
        </xdr:cNvSpPr>
      </xdr:nvSpPr>
      <xdr:spPr bwMode="auto">
        <a:xfrm>
          <a:off x="3228975" y="2352675"/>
          <a:ext cx="16192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133350</xdr:colOff>
      <xdr:row>5</xdr:row>
      <xdr:rowOff>142875</xdr:rowOff>
    </xdr:from>
    <xdr:to>
      <xdr:col>6</xdr:col>
      <xdr:colOff>133350</xdr:colOff>
      <xdr:row>11</xdr:row>
      <xdr:rowOff>209550</xdr:rowOff>
    </xdr:to>
    <xdr:sp macro="" textlink="">
      <xdr:nvSpPr>
        <xdr:cNvPr id="9271" name="Line 55"/>
        <xdr:cNvSpPr>
          <a:spLocks noChangeShapeType="1"/>
        </xdr:cNvSpPr>
      </xdr:nvSpPr>
      <xdr:spPr bwMode="auto">
        <a:xfrm flipV="1">
          <a:off x="3371850" y="1047750"/>
          <a:ext cx="0" cy="13049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133350</xdr:colOff>
      <xdr:row>5</xdr:row>
      <xdr:rowOff>152400</xdr:rowOff>
    </xdr:from>
    <xdr:to>
      <xdr:col>7</xdr:col>
      <xdr:colOff>342900</xdr:colOff>
      <xdr:row>5</xdr:row>
      <xdr:rowOff>152400</xdr:rowOff>
    </xdr:to>
    <xdr:sp macro="" textlink="">
      <xdr:nvSpPr>
        <xdr:cNvPr id="9272" name="Line 56"/>
        <xdr:cNvSpPr>
          <a:spLocks noChangeShapeType="1"/>
        </xdr:cNvSpPr>
      </xdr:nvSpPr>
      <xdr:spPr bwMode="auto">
        <a:xfrm flipV="1">
          <a:off x="3371850" y="1057275"/>
          <a:ext cx="933450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333375</xdr:colOff>
      <xdr:row>4</xdr:row>
      <xdr:rowOff>152400</xdr:rowOff>
    </xdr:from>
    <xdr:to>
      <xdr:col>7</xdr:col>
      <xdr:colOff>333375</xdr:colOff>
      <xdr:row>5</xdr:row>
      <xdr:rowOff>142875</xdr:rowOff>
    </xdr:to>
    <xdr:sp macro="" textlink="">
      <xdr:nvSpPr>
        <xdr:cNvPr id="9273" name="Line 57"/>
        <xdr:cNvSpPr>
          <a:spLocks noChangeShapeType="1"/>
        </xdr:cNvSpPr>
      </xdr:nvSpPr>
      <xdr:spPr bwMode="auto">
        <a:xfrm>
          <a:off x="4295775" y="895350"/>
          <a:ext cx="0" cy="15240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238125</xdr:colOff>
      <xdr:row>7</xdr:row>
      <xdr:rowOff>57150</xdr:rowOff>
    </xdr:from>
    <xdr:to>
      <xdr:col>6</xdr:col>
      <xdr:colOff>371475</xdr:colOff>
      <xdr:row>7</xdr:row>
      <xdr:rowOff>57150</xdr:rowOff>
    </xdr:to>
    <xdr:sp macro="" textlink="">
      <xdr:nvSpPr>
        <xdr:cNvPr id="9274" name="Line 58"/>
        <xdr:cNvSpPr>
          <a:spLocks noChangeShapeType="1"/>
        </xdr:cNvSpPr>
      </xdr:nvSpPr>
      <xdr:spPr bwMode="auto">
        <a:xfrm flipH="1" flipV="1">
          <a:off x="2009775" y="1352550"/>
          <a:ext cx="16002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lgDashDot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209550</xdr:colOff>
      <xdr:row>4</xdr:row>
      <xdr:rowOff>152400</xdr:rowOff>
    </xdr:from>
    <xdr:to>
      <xdr:col>5</xdr:col>
      <xdr:colOff>581025</xdr:colOff>
      <xdr:row>4</xdr:row>
      <xdr:rowOff>152400</xdr:rowOff>
    </xdr:to>
    <xdr:sp macro="" textlink="">
      <xdr:nvSpPr>
        <xdr:cNvPr id="9275" name="Line 59"/>
        <xdr:cNvSpPr>
          <a:spLocks noChangeShapeType="1"/>
        </xdr:cNvSpPr>
      </xdr:nvSpPr>
      <xdr:spPr bwMode="auto">
        <a:xfrm flipH="1">
          <a:off x="1981200" y="895350"/>
          <a:ext cx="115252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238125</xdr:colOff>
      <xdr:row>10</xdr:row>
      <xdr:rowOff>57150</xdr:rowOff>
    </xdr:from>
    <xdr:to>
      <xdr:col>6</xdr:col>
      <xdr:colOff>542925</xdr:colOff>
      <xdr:row>10</xdr:row>
      <xdr:rowOff>57150</xdr:rowOff>
    </xdr:to>
    <xdr:sp macro="" textlink="">
      <xdr:nvSpPr>
        <xdr:cNvPr id="9276" name="Line 60"/>
        <xdr:cNvSpPr>
          <a:spLocks noChangeShapeType="1"/>
        </xdr:cNvSpPr>
      </xdr:nvSpPr>
      <xdr:spPr bwMode="auto">
        <a:xfrm flipH="1" flipV="1">
          <a:off x="2009775" y="1971675"/>
          <a:ext cx="17716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lgDashDot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285750</xdr:colOff>
      <xdr:row>7</xdr:row>
      <xdr:rowOff>47625</xdr:rowOff>
    </xdr:from>
    <xdr:to>
      <xdr:col>4</xdr:col>
      <xdr:colOff>285750</xdr:colOff>
      <xdr:row>10</xdr:row>
      <xdr:rowOff>66675</xdr:rowOff>
    </xdr:to>
    <xdr:sp macro="" textlink="">
      <xdr:nvSpPr>
        <xdr:cNvPr id="9277" name="Line 61"/>
        <xdr:cNvSpPr>
          <a:spLocks noChangeShapeType="1"/>
        </xdr:cNvSpPr>
      </xdr:nvSpPr>
      <xdr:spPr bwMode="auto">
        <a:xfrm flipV="1">
          <a:off x="2057400" y="1343025"/>
          <a:ext cx="0" cy="63817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285750</xdr:colOff>
      <xdr:row>4</xdr:row>
      <xdr:rowOff>142875</xdr:rowOff>
    </xdr:from>
    <xdr:to>
      <xdr:col>4</xdr:col>
      <xdr:colOff>285750</xdr:colOff>
      <xdr:row>7</xdr:row>
      <xdr:rowOff>76200</xdr:rowOff>
    </xdr:to>
    <xdr:sp macro="" textlink="">
      <xdr:nvSpPr>
        <xdr:cNvPr id="9278" name="Line 62"/>
        <xdr:cNvSpPr>
          <a:spLocks noChangeShapeType="1"/>
        </xdr:cNvSpPr>
      </xdr:nvSpPr>
      <xdr:spPr bwMode="auto">
        <a:xfrm flipV="1">
          <a:off x="2057400" y="885825"/>
          <a:ext cx="0" cy="48577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</xdr:row>
      <xdr:rowOff>85725</xdr:rowOff>
    </xdr:from>
    <xdr:to>
      <xdr:col>6</xdr:col>
      <xdr:colOff>0</xdr:colOff>
      <xdr:row>4</xdr:row>
      <xdr:rowOff>104775</xdr:rowOff>
    </xdr:to>
    <xdr:sp macro="" textlink="">
      <xdr:nvSpPr>
        <xdr:cNvPr id="9279" name="Line 63"/>
        <xdr:cNvSpPr>
          <a:spLocks noChangeShapeType="1"/>
        </xdr:cNvSpPr>
      </xdr:nvSpPr>
      <xdr:spPr bwMode="auto">
        <a:xfrm flipV="1">
          <a:off x="3238500" y="342900"/>
          <a:ext cx="0" cy="5048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552450</xdr:colOff>
      <xdr:row>1</xdr:row>
      <xdr:rowOff>66675</xdr:rowOff>
    </xdr:from>
    <xdr:to>
      <xdr:col>6</xdr:col>
      <xdr:colOff>561975</xdr:colOff>
      <xdr:row>7</xdr:row>
      <xdr:rowOff>28575</xdr:rowOff>
    </xdr:to>
    <xdr:sp macro="" textlink="">
      <xdr:nvSpPr>
        <xdr:cNvPr id="9280" name="Line 64"/>
        <xdr:cNvSpPr>
          <a:spLocks noChangeShapeType="1"/>
        </xdr:cNvSpPr>
      </xdr:nvSpPr>
      <xdr:spPr bwMode="auto">
        <a:xfrm flipH="1" flipV="1">
          <a:off x="3790950" y="323850"/>
          <a:ext cx="9525" cy="10001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lgDashDot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</xdr:row>
      <xdr:rowOff>85725</xdr:rowOff>
    </xdr:from>
    <xdr:to>
      <xdr:col>6</xdr:col>
      <xdr:colOff>123825</xdr:colOff>
      <xdr:row>10</xdr:row>
      <xdr:rowOff>123825</xdr:rowOff>
    </xdr:to>
    <xdr:sp macro="" textlink="">
      <xdr:nvSpPr>
        <xdr:cNvPr id="9281" name="Rectangle 65"/>
        <xdr:cNvSpPr>
          <a:spLocks noChangeArrowheads="1"/>
        </xdr:cNvSpPr>
      </xdr:nvSpPr>
      <xdr:spPr bwMode="auto">
        <a:xfrm>
          <a:off x="3238500" y="1838325"/>
          <a:ext cx="123825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9525</xdr:colOff>
      <xdr:row>6</xdr:row>
      <xdr:rowOff>161925</xdr:rowOff>
    </xdr:from>
    <xdr:to>
      <xdr:col>6</xdr:col>
      <xdr:colOff>123825</xdr:colOff>
      <xdr:row>7</xdr:row>
      <xdr:rowOff>190500</xdr:rowOff>
    </xdr:to>
    <xdr:sp macro="" textlink="">
      <xdr:nvSpPr>
        <xdr:cNvPr id="9282" name="Rectangle 66"/>
        <xdr:cNvSpPr>
          <a:spLocks noChangeArrowheads="1"/>
        </xdr:cNvSpPr>
      </xdr:nvSpPr>
      <xdr:spPr bwMode="auto">
        <a:xfrm>
          <a:off x="3248025" y="1228725"/>
          <a:ext cx="114300" cy="257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</xdr:row>
      <xdr:rowOff>152400</xdr:rowOff>
    </xdr:from>
    <xdr:to>
      <xdr:col>6</xdr:col>
      <xdr:colOff>676275</xdr:colOff>
      <xdr:row>5</xdr:row>
      <xdr:rowOff>152400</xdr:rowOff>
    </xdr:to>
    <xdr:sp macro="" textlink="">
      <xdr:nvSpPr>
        <xdr:cNvPr id="9283" name="Rectangle 67"/>
        <xdr:cNvSpPr>
          <a:spLocks noChangeArrowheads="1"/>
        </xdr:cNvSpPr>
      </xdr:nvSpPr>
      <xdr:spPr bwMode="auto">
        <a:xfrm>
          <a:off x="3686175" y="895350"/>
          <a:ext cx="228600" cy="1619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0</xdr:colOff>
      <xdr:row>1</xdr:row>
      <xdr:rowOff>142875</xdr:rowOff>
    </xdr:from>
    <xdr:to>
      <xdr:col>6</xdr:col>
      <xdr:colOff>571500</xdr:colOff>
      <xdr:row>1</xdr:row>
      <xdr:rowOff>142875</xdr:rowOff>
    </xdr:to>
    <xdr:sp macro="" textlink="">
      <xdr:nvSpPr>
        <xdr:cNvPr id="9284" name="Line 68"/>
        <xdr:cNvSpPr>
          <a:spLocks noChangeShapeType="1"/>
        </xdr:cNvSpPr>
      </xdr:nvSpPr>
      <xdr:spPr bwMode="auto">
        <a:xfrm flipV="1">
          <a:off x="3238500" y="400050"/>
          <a:ext cx="5715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</xdr:colOff>
      <xdr:row>8</xdr:row>
      <xdr:rowOff>0</xdr:rowOff>
    </xdr:from>
    <xdr:to>
      <xdr:col>8</xdr:col>
      <xdr:colOff>9525</xdr:colOff>
      <xdr:row>8</xdr:row>
      <xdr:rowOff>0</xdr:rowOff>
    </xdr:to>
    <xdr:sp macro="" textlink="">
      <xdr:nvSpPr>
        <xdr:cNvPr id="7170" name="Line 2"/>
        <xdr:cNvSpPr>
          <a:spLocks noChangeShapeType="1"/>
        </xdr:cNvSpPr>
      </xdr:nvSpPr>
      <xdr:spPr bwMode="auto">
        <a:xfrm>
          <a:off x="3781425" y="1581150"/>
          <a:ext cx="120967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28575</xdr:colOff>
      <xdr:row>8</xdr:row>
      <xdr:rowOff>19050</xdr:rowOff>
    </xdr:from>
    <xdr:to>
      <xdr:col>6</xdr:col>
      <xdr:colOff>28575</xdr:colOff>
      <xdr:row>8</xdr:row>
      <xdr:rowOff>66675</xdr:rowOff>
    </xdr:to>
    <xdr:sp macro="" textlink="">
      <xdr:nvSpPr>
        <xdr:cNvPr id="7171" name="Line 3"/>
        <xdr:cNvSpPr>
          <a:spLocks noChangeShapeType="1"/>
        </xdr:cNvSpPr>
      </xdr:nvSpPr>
      <xdr:spPr bwMode="auto">
        <a:xfrm>
          <a:off x="3790950" y="1600200"/>
          <a:ext cx="0" cy="476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9525</xdr:colOff>
      <xdr:row>7</xdr:row>
      <xdr:rowOff>152400</xdr:rowOff>
    </xdr:from>
    <xdr:to>
      <xdr:col>8</xdr:col>
      <xdr:colOff>19050</xdr:colOff>
      <xdr:row>8</xdr:row>
      <xdr:rowOff>66675</xdr:rowOff>
    </xdr:to>
    <xdr:sp macro="" textlink="">
      <xdr:nvSpPr>
        <xdr:cNvPr id="7172" name="Line 4"/>
        <xdr:cNvSpPr>
          <a:spLocks noChangeShapeType="1"/>
        </xdr:cNvSpPr>
      </xdr:nvSpPr>
      <xdr:spPr bwMode="auto">
        <a:xfrm>
          <a:off x="4991100" y="1533525"/>
          <a:ext cx="9525" cy="11430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38100</xdr:colOff>
      <xdr:row>8</xdr:row>
      <xdr:rowOff>66675</xdr:rowOff>
    </xdr:from>
    <xdr:to>
      <xdr:col>6</xdr:col>
      <xdr:colOff>561975</xdr:colOff>
      <xdr:row>8</xdr:row>
      <xdr:rowOff>66675</xdr:rowOff>
    </xdr:to>
    <xdr:sp macro="" textlink="">
      <xdr:nvSpPr>
        <xdr:cNvPr id="7173" name="Line 5"/>
        <xdr:cNvSpPr>
          <a:spLocks noChangeShapeType="1"/>
        </xdr:cNvSpPr>
      </xdr:nvSpPr>
      <xdr:spPr bwMode="auto">
        <a:xfrm flipV="1">
          <a:off x="3800475" y="1647825"/>
          <a:ext cx="52387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38100</xdr:colOff>
      <xdr:row>8</xdr:row>
      <xdr:rowOff>66675</xdr:rowOff>
    </xdr:from>
    <xdr:to>
      <xdr:col>8</xdr:col>
      <xdr:colOff>19050</xdr:colOff>
      <xdr:row>8</xdr:row>
      <xdr:rowOff>66675</xdr:rowOff>
    </xdr:to>
    <xdr:sp macro="" textlink="">
      <xdr:nvSpPr>
        <xdr:cNvPr id="7174" name="Line 6"/>
        <xdr:cNvSpPr>
          <a:spLocks noChangeShapeType="1"/>
        </xdr:cNvSpPr>
      </xdr:nvSpPr>
      <xdr:spPr bwMode="auto">
        <a:xfrm flipH="1">
          <a:off x="4410075" y="1647825"/>
          <a:ext cx="590550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581025</xdr:colOff>
      <xdr:row>8</xdr:row>
      <xdr:rowOff>66675</xdr:rowOff>
    </xdr:from>
    <xdr:to>
      <xdr:col>6</xdr:col>
      <xdr:colOff>581025</xdr:colOff>
      <xdr:row>12</xdr:row>
      <xdr:rowOff>190500</xdr:rowOff>
    </xdr:to>
    <xdr:sp macro="" textlink="">
      <xdr:nvSpPr>
        <xdr:cNvPr id="7176" name="Line 8"/>
        <xdr:cNvSpPr>
          <a:spLocks noChangeShapeType="1"/>
        </xdr:cNvSpPr>
      </xdr:nvSpPr>
      <xdr:spPr bwMode="auto">
        <a:xfrm>
          <a:off x="4343400" y="1647825"/>
          <a:ext cx="0" cy="11144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9525</xdr:colOff>
      <xdr:row>8</xdr:row>
      <xdr:rowOff>66675</xdr:rowOff>
    </xdr:from>
    <xdr:to>
      <xdr:col>7</xdr:col>
      <xdr:colOff>9525</xdr:colOff>
      <xdr:row>12</xdr:row>
      <xdr:rowOff>190500</xdr:rowOff>
    </xdr:to>
    <xdr:sp macro="" textlink="">
      <xdr:nvSpPr>
        <xdr:cNvPr id="7180" name="Line 12"/>
        <xdr:cNvSpPr>
          <a:spLocks noChangeShapeType="1"/>
        </xdr:cNvSpPr>
      </xdr:nvSpPr>
      <xdr:spPr bwMode="auto">
        <a:xfrm>
          <a:off x="4381500" y="1647825"/>
          <a:ext cx="0" cy="11144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2</xdr:row>
      <xdr:rowOff>123825</xdr:rowOff>
    </xdr:from>
    <xdr:to>
      <xdr:col>6</xdr:col>
      <xdr:colOff>9525</xdr:colOff>
      <xdr:row>7</xdr:row>
      <xdr:rowOff>104775</xdr:rowOff>
    </xdr:to>
    <xdr:sp macro="" textlink="">
      <xdr:nvSpPr>
        <xdr:cNvPr id="7184" name="Line 16"/>
        <xdr:cNvSpPr>
          <a:spLocks noChangeShapeType="1"/>
        </xdr:cNvSpPr>
      </xdr:nvSpPr>
      <xdr:spPr bwMode="auto">
        <a:xfrm flipV="1">
          <a:off x="3771900" y="447675"/>
          <a:ext cx="0" cy="10382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9525</xdr:colOff>
      <xdr:row>2</xdr:row>
      <xdr:rowOff>95250</xdr:rowOff>
    </xdr:from>
    <xdr:to>
      <xdr:col>8</xdr:col>
      <xdr:colOff>9525</xdr:colOff>
      <xdr:row>7</xdr:row>
      <xdr:rowOff>104775</xdr:rowOff>
    </xdr:to>
    <xdr:sp macro="" textlink="">
      <xdr:nvSpPr>
        <xdr:cNvPr id="7185" name="Line 17"/>
        <xdr:cNvSpPr>
          <a:spLocks noChangeShapeType="1"/>
        </xdr:cNvSpPr>
      </xdr:nvSpPr>
      <xdr:spPr bwMode="auto">
        <a:xfrm flipV="1">
          <a:off x="4991100" y="419100"/>
          <a:ext cx="0" cy="106680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</xdr:row>
      <xdr:rowOff>180975</xdr:rowOff>
    </xdr:from>
    <xdr:to>
      <xdr:col>7</xdr:col>
      <xdr:colOff>600075</xdr:colOff>
      <xdr:row>2</xdr:row>
      <xdr:rowOff>180975</xdr:rowOff>
    </xdr:to>
    <xdr:sp macro="" textlink="">
      <xdr:nvSpPr>
        <xdr:cNvPr id="7186" name="Line 18"/>
        <xdr:cNvSpPr>
          <a:spLocks noChangeShapeType="1"/>
        </xdr:cNvSpPr>
      </xdr:nvSpPr>
      <xdr:spPr bwMode="auto">
        <a:xfrm>
          <a:off x="3762375" y="504825"/>
          <a:ext cx="12096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257175</xdr:colOff>
      <xdr:row>7</xdr:row>
      <xdr:rowOff>152400</xdr:rowOff>
    </xdr:from>
    <xdr:to>
      <xdr:col>6</xdr:col>
      <xdr:colOff>371475</xdr:colOff>
      <xdr:row>8</xdr:row>
      <xdr:rowOff>66675</xdr:rowOff>
    </xdr:to>
    <xdr:sp macro="" textlink="">
      <xdr:nvSpPr>
        <xdr:cNvPr id="7187" name="Rectangle 19"/>
        <xdr:cNvSpPr>
          <a:spLocks noChangeArrowheads="1"/>
        </xdr:cNvSpPr>
      </xdr:nvSpPr>
      <xdr:spPr bwMode="auto">
        <a:xfrm>
          <a:off x="4019550" y="1533525"/>
          <a:ext cx="114300" cy="1143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276225</xdr:colOff>
      <xdr:row>7</xdr:row>
      <xdr:rowOff>152400</xdr:rowOff>
    </xdr:from>
    <xdr:to>
      <xdr:col>7</xdr:col>
      <xdr:colOff>361950</xdr:colOff>
      <xdr:row>8</xdr:row>
      <xdr:rowOff>76200</xdr:rowOff>
    </xdr:to>
    <xdr:sp macro="" textlink="">
      <xdr:nvSpPr>
        <xdr:cNvPr id="7188" name="Rectangle 20"/>
        <xdr:cNvSpPr>
          <a:spLocks noChangeArrowheads="1"/>
        </xdr:cNvSpPr>
      </xdr:nvSpPr>
      <xdr:spPr bwMode="auto">
        <a:xfrm>
          <a:off x="4648200" y="1533525"/>
          <a:ext cx="85725" cy="1238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314325</xdr:colOff>
      <xdr:row>4</xdr:row>
      <xdr:rowOff>0</xdr:rowOff>
    </xdr:from>
    <xdr:to>
      <xdr:col>6</xdr:col>
      <xdr:colOff>314325</xdr:colOff>
      <xdr:row>9</xdr:row>
      <xdr:rowOff>0</xdr:rowOff>
    </xdr:to>
    <xdr:sp macro="" textlink="">
      <xdr:nvSpPr>
        <xdr:cNvPr id="7189" name="Line 21"/>
        <xdr:cNvSpPr>
          <a:spLocks noChangeShapeType="1"/>
        </xdr:cNvSpPr>
      </xdr:nvSpPr>
      <xdr:spPr bwMode="auto">
        <a:xfrm flipV="1">
          <a:off x="4076700" y="723900"/>
          <a:ext cx="0" cy="105727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lgDashDot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323850</xdr:colOff>
      <xdr:row>4</xdr:row>
      <xdr:rowOff>0</xdr:rowOff>
    </xdr:from>
    <xdr:to>
      <xdr:col>7</xdr:col>
      <xdr:colOff>333375</xdr:colOff>
      <xdr:row>9</xdr:row>
      <xdr:rowOff>0</xdr:rowOff>
    </xdr:to>
    <xdr:sp macro="" textlink="">
      <xdr:nvSpPr>
        <xdr:cNvPr id="7190" name="Line 22"/>
        <xdr:cNvSpPr>
          <a:spLocks noChangeShapeType="1"/>
        </xdr:cNvSpPr>
      </xdr:nvSpPr>
      <xdr:spPr bwMode="auto">
        <a:xfrm flipH="1" flipV="1">
          <a:off x="4695825" y="723900"/>
          <a:ext cx="9525" cy="105727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lgDashDot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3</xdr:row>
      <xdr:rowOff>276225</xdr:rowOff>
    </xdr:from>
    <xdr:to>
      <xdr:col>7</xdr:col>
      <xdr:colOff>333375</xdr:colOff>
      <xdr:row>3</xdr:row>
      <xdr:rowOff>276225</xdr:rowOff>
    </xdr:to>
    <xdr:sp macro="" textlink="">
      <xdr:nvSpPr>
        <xdr:cNvPr id="7191" name="Line 23"/>
        <xdr:cNvSpPr>
          <a:spLocks noChangeShapeType="1"/>
        </xdr:cNvSpPr>
      </xdr:nvSpPr>
      <xdr:spPr bwMode="auto">
        <a:xfrm>
          <a:off x="4067175" y="723900"/>
          <a:ext cx="6381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419100</xdr:colOff>
      <xdr:row>8</xdr:row>
      <xdr:rowOff>0</xdr:rowOff>
    </xdr:from>
    <xdr:to>
      <xdr:col>5</xdr:col>
      <xdr:colOff>571500</xdr:colOff>
      <xdr:row>8</xdr:row>
      <xdr:rowOff>0</xdr:rowOff>
    </xdr:to>
    <xdr:sp macro="" textlink="">
      <xdr:nvSpPr>
        <xdr:cNvPr id="7192" name="Line 24"/>
        <xdr:cNvSpPr>
          <a:spLocks noChangeShapeType="1"/>
        </xdr:cNvSpPr>
      </xdr:nvSpPr>
      <xdr:spPr bwMode="auto">
        <a:xfrm flipH="1">
          <a:off x="2886075" y="1581150"/>
          <a:ext cx="8382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485775</xdr:colOff>
      <xdr:row>13</xdr:row>
      <xdr:rowOff>0</xdr:rowOff>
    </xdr:from>
    <xdr:to>
      <xdr:col>6</xdr:col>
      <xdr:colOff>504825</xdr:colOff>
      <xdr:row>13</xdr:row>
      <xdr:rowOff>0</xdr:rowOff>
    </xdr:to>
    <xdr:sp macro="" textlink="">
      <xdr:nvSpPr>
        <xdr:cNvPr id="7193" name="Line 25"/>
        <xdr:cNvSpPr>
          <a:spLocks noChangeShapeType="1"/>
        </xdr:cNvSpPr>
      </xdr:nvSpPr>
      <xdr:spPr bwMode="auto">
        <a:xfrm flipH="1">
          <a:off x="2952750" y="2771775"/>
          <a:ext cx="13144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8</xdr:row>
      <xdr:rowOff>28575</xdr:rowOff>
    </xdr:from>
    <xdr:to>
      <xdr:col>5</xdr:col>
      <xdr:colOff>0</xdr:colOff>
      <xdr:row>12</xdr:row>
      <xdr:rowOff>180975</xdr:rowOff>
    </xdr:to>
    <xdr:sp macro="" textlink="">
      <xdr:nvSpPr>
        <xdr:cNvPr id="7194" name="Line 26"/>
        <xdr:cNvSpPr>
          <a:spLocks noChangeShapeType="1"/>
        </xdr:cNvSpPr>
      </xdr:nvSpPr>
      <xdr:spPr bwMode="auto">
        <a:xfrm flipV="1">
          <a:off x="3152775" y="1609725"/>
          <a:ext cx="0" cy="114300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200025</xdr:colOff>
      <xdr:row>11</xdr:row>
      <xdr:rowOff>180975</xdr:rowOff>
    </xdr:from>
    <xdr:to>
      <xdr:col>6</xdr:col>
      <xdr:colOff>581025</xdr:colOff>
      <xdr:row>11</xdr:row>
      <xdr:rowOff>180975</xdr:rowOff>
    </xdr:to>
    <xdr:sp macro="" textlink="">
      <xdr:nvSpPr>
        <xdr:cNvPr id="7195" name="Line 27"/>
        <xdr:cNvSpPr>
          <a:spLocks noChangeShapeType="1"/>
        </xdr:cNvSpPr>
      </xdr:nvSpPr>
      <xdr:spPr bwMode="auto">
        <a:xfrm>
          <a:off x="3962400" y="2457450"/>
          <a:ext cx="3810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28575</xdr:colOff>
      <xdr:row>11</xdr:row>
      <xdr:rowOff>190500</xdr:rowOff>
    </xdr:from>
    <xdr:to>
      <xdr:col>7</xdr:col>
      <xdr:colOff>314325</xdr:colOff>
      <xdr:row>11</xdr:row>
      <xdr:rowOff>190500</xdr:rowOff>
    </xdr:to>
    <xdr:sp macro="" textlink="">
      <xdr:nvSpPr>
        <xdr:cNvPr id="7196" name="Line 28"/>
        <xdr:cNvSpPr>
          <a:spLocks noChangeShapeType="1"/>
        </xdr:cNvSpPr>
      </xdr:nvSpPr>
      <xdr:spPr bwMode="auto">
        <a:xfrm>
          <a:off x="4400550" y="2466975"/>
          <a:ext cx="2857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8</xdr:row>
      <xdr:rowOff>76200</xdr:rowOff>
    </xdr:from>
    <xdr:to>
      <xdr:col>5</xdr:col>
      <xdr:colOff>600075</xdr:colOff>
      <xdr:row>8</xdr:row>
      <xdr:rowOff>76200</xdr:rowOff>
    </xdr:to>
    <xdr:sp macro="" textlink="">
      <xdr:nvSpPr>
        <xdr:cNvPr id="7197" name="Line 29"/>
        <xdr:cNvSpPr>
          <a:spLocks noChangeShapeType="1"/>
        </xdr:cNvSpPr>
      </xdr:nvSpPr>
      <xdr:spPr bwMode="auto">
        <a:xfrm flipH="1">
          <a:off x="3333750" y="1657350"/>
          <a:ext cx="4191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238125</xdr:colOff>
      <xdr:row>8</xdr:row>
      <xdr:rowOff>66675</xdr:rowOff>
    </xdr:from>
    <xdr:to>
      <xdr:col>5</xdr:col>
      <xdr:colOff>238125</xdr:colOff>
      <xdr:row>9</xdr:row>
      <xdr:rowOff>133350</xdr:rowOff>
    </xdr:to>
    <xdr:sp macro="" textlink="">
      <xdr:nvSpPr>
        <xdr:cNvPr id="7198" name="Line 30"/>
        <xdr:cNvSpPr>
          <a:spLocks noChangeShapeType="1"/>
        </xdr:cNvSpPr>
      </xdr:nvSpPr>
      <xdr:spPr bwMode="auto">
        <a:xfrm>
          <a:off x="3390900" y="1647825"/>
          <a:ext cx="0" cy="26670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228600</xdr:colOff>
      <xdr:row>6</xdr:row>
      <xdr:rowOff>76200</xdr:rowOff>
    </xdr:from>
    <xdr:to>
      <xdr:col>5</xdr:col>
      <xdr:colOff>228600</xdr:colOff>
      <xdr:row>7</xdr:row>
      <xdr:rowOff>142875</xdr:rowOff>
    </xdr:to>
    <xdr:sp macro="" textlink="">
      <xdr:nvSpPr>
        <xdr:cNvPr id="7199" name="Line 31"/>
        <xdr:cNvSpPr>
          <a:spLocks noChangeShapeType="1"/>
        </xdr:cNvSpPr>
      </xdr:nvSpPr>
      <xdr:spPr bwMode="auto">
        <a:xfrm flipV="1">
          <a:off x="3381375" y="1257300"/>
          <a:ext cx="0" cy="26670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314325</xdr:colOff>
      <xdr:row>6</xdr:row>
      <xdr:rowOff>85725</xdr:rowOff>
    </xdr:from>
    <xdr:to>
      <xdr:col>5</xdr:col>
      <xdr:colOff>219075</xdr:colOff>
      <xdr:row>6</xdr:row>
      <xdr:rowOff>85725</xdr:rowOff>
    </xdr:to>
    <xdr:sp macro="" textlink="">
      <xdr:nvSpPr>
        <xdr:cNvPr id="7200" name="Line 32"/>
        <xdr:cNvSpPr>
          <a:spLocks noChangeShapeType="1"/>
        </xdr:cNvSpPr>
      </xdr:nvSpPr>
      <xdr:spPr bwMode="auto">
        <a:xfrm>
          <a:off x="2781300" y="1266825"/>
          <a:ext cx="5905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590550</xdr:colOff>
      <xdr:row>5</xdr:row>
      <xdr:rowOff>95250</xdr:rowOff>
    </xdr:from>
    <xdr:to>
      <xdr:col>6</xdr:col>
      <xdr:colOff>600075</xdr:colOff>
      <xdr:row>8</xdr:row>
      <xdr:rowOff>123825</xdr:rowOff>
    </xdr:to>
    <xdr:sp macro="" textlink="">
      <xdr:nvSpPr>
        <xdr:cNvPr id="7201" name="Line 33"/>
        <xdr:cNvSpPr>
          <a:spLocks noChangeShapeType="1"/>
        </xdr:cNvSpPr>
      </xdr:nvSpPr>
      <xdr:spPr bwMode="auto">
        <a:xfrm flipH="1" flipV="1">
          <a:off x="4352925" y="981075"/>
          <a:ext cx="9525" cy="72390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prstDash val="lgDashDot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57150</xdr:colOff>
      <xdr:row>5</xdr:row>
      <xdr:rowOff>95250</xdr:rowOff>
    </xdr:from>
    <xdr:to>
      <xdr:col>7</xdr:col>
      <xdr:colOff>57150</xdr:colOff>
      <xdr:row>8</xdr:row>
      <xdr:rowOff>76200</xdr:rowOff>
    </xdr:to>
    <xdr:sp macro="" textlink="">
      <xdr:nvSpPr>
        <xdr:cNvPr id="7202" name="Line 34"/>
        <xdr:cNvSpPr>
          <a:spLocks noChangeShapeType="1"/>
        </xdr:cNvSpPr>
      </xdr:nvSpPr>
      <xdr:spPr bwMode="auto">
        <a:xfrm flipV="1">
          <a:off x="4429125" y="981075"/>
          <a:ext cx="0" cy="67627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361950</xdr:colOff>
      <xdr:row>6</xdr:row>
      <xdr:rowOff>19050</xdr:rowOff>
    </xdr:from>
    <xdr:to>
      <xdr:col>6</xdr:col>
      <xdr:colOff>581025</xdr:colOff>
      <xdr:row>6</xdr:row>
      <xdr:rowOff>19050</xdr:rowOff>
    </xdr:to>
    <xdr:sp macro="" textlink="">
      <xdr:nvSpPr>
        <xdr:cNvPr id="7203" name="Line 35"/>
        <xdr:cNvSpPr>
          <a:spLocks noChangeShapeType="1"/>
        </xdr:cNvSpPr>
      </xdr:nvSpPr>
      <xdr:spPr bwMode="auto">
        <a:xfrm flipH="1">
          <a:off x="4124325" y="1200150"/>
          <a:ext cx="2190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66675</xdr:colOff>
      <xdr:row>6</xdr:row>
      <xdr:rowOff>19050</xdr:rowOff>
    </xdr:from>
    <xdr:to>
      <xdr:col>7</xdr:col>
      <xdr:colOff>257175</xdr:colOff>
      <xdr:row>6</xdr:row>
      <xdr:rowOff>19050</xdr:rowOff>
    </xdr:to>
    <xdr:sp macro="" textlink="">
      <xdr:nvSpPr>
        <xdr:cNvPr id="7204" name="Line 36"/>
        <xdr:cNvSpPr>
          <a:spLocks noChangeShapeType="1"/>
        </xdr:cNvSpPr>
      </xdr:nvSpPr>
      <xdr:spPr bwMode="auto">
        <a:xfrm>
          <a:off x="4438650" y="1200150"/>
          <a:ext cx="1905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95250</xdr:colOff>
      <xdr:row>8</xdr:row>
      <xdr:rowOff>0</xdr:rowOff>
    </xdr:from>
    <xdr:to>
      <xdr:col>9</xdr:col>
      <xdr:colOff>314325</xdr:colOff>
      <xdr:row>8</xdr:row>
      <xdr:rowOff>0</xdr:rowOff>
    </xdr:to>
    <xdr:sp macro="" textlink="">
      <xdr:nvSpPr>
        <xdr:cNvPr id="7205" name="Line 37"/>
        <xdr:cNvSpPr>
          <a:spLocks noChangeShapeType="1"/>
        </xdr:cNvSpPr>
      </xdr:nvSpPr>
      <xdr:spPr bwMode="auto">
        <a:xfrm flipV="1">
          <a:off x="5076825" y="1581150"/>
          <a:ext cx="9144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76200</xdr:colOff>
      <xdr:row>8</xdr:row>
      <xdr:rowOff>133350</xdr:rowOff>
    </xdr:from>
    <xdr:to>
      <xdr:col>8</xdr:col>
      <xdr:colOff>571500</xdr:colOff>
      <xdr:row>8</xdr:row>
      <xdr:rowOff>133350</xdr:rowOff>
    </xdr:to>
    <xdr:sp macro="" textlink="">
      <xdr:nvSpPr>
        <xdr:cNvPr id="7206" name="Line 38"/>
        <xdr:cNvSpPr>
          <a:spLocks noChangeShapeType="1"/>
        </xdr:cNvSpPr>
      </xdr:nvSpPr>
      <xdr:spPr bwMode="auto">
        <a:xfrm>
          <a:off x="4448175" y="1714500"/>
          <a:ext cx="11049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514350</xdr:colOff>
      <xdr:row>6</xdr:row>
      <xdr:rowOff>114300</xdr:rowOff>
    </xdr:from>
    <xdr:to>
      <xdr:col>8</xdr:col>
      <xdr:colOff>514350</xdr:colOff>
      <xdr:row>7</xdr:row>
      <xdr:rowOff>171450</xdr:rowOff>
    </xdr:to>
    <xdr:sp macro="" textlink="">
      <xdr:nvSpPr>
        <xdr:cNvPr id="7207" name="Line 39"/>
        <xdr:cNvSpPr>
          <a:spLocks noChangeShapeType="1"/>
        </xdr:cNvSpPr>
      </xdr:nvSpPr>
      <xdr:spPr bwMode="auto">
        <a:xfrm flipV="1">
          <a:off x="5495925" y="1295400"/>
          <a:ext cx="0" cy="25717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8</xdr:row>
      <xdr:rowOff>133350</xdr:rowOff>
    </xdr:from>
    <xdr:to>
      <xdr:col>8</xdr:col>
      <xdr:colOff>523875</xdr:colOff>
      <xdr:row>10</xdr:row>
      <xdr:rowOff>0</xdr:rowOff>
    </xdr:to>
    <xdr:sp macro="" textlink="">
      <xdr:nvSpPr>
        <xdr:cNvPr id="7208" name="Line 40"/>
        <xdr:cNvSpPr>
          <a:spLocks noChangeShapeType="1"/>
        </xdr:cNvSpPr>
      </xdr:nvSpPr>
      <xdr:spPr bwMode="auto">
        <a:xfrm>
          <a:off x="5505450" y="1714500"/>
          <a:ext cx="0" cy="26670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6</xdr:row>
      <xdr:rowOff>104775</xdr:rowOff>
    </xdr:from>
    <xdr:to>
      <xdr:col>9</xdr:col>
      <xdr:colOff>66675</xdr:colOff>
      <xdr:row>6</xdr:row>
      <xdr:rowOff>104775</xdr:rowOff>
    </xdr:to>
    <xdr:sp macro="" textlink="">
      <xdr:nvSpPr>
        <xdr:cNvPr id="7209" name="Line 41"/>
        <xdr:cNvSpPr>
          <a:spLocks noChangeShapeType="1"/>
        </xdr:cNvSpPr>
      </xdr:nvSpPr>
      <xdr:spPr bwMode="auto">
        <a:xfrm>
          <a:off x="5505450" y="1285875"/>
          <a:ext cx="23812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457200</xdr:colOff>
      <xdr:row>10</xdr:row>
      <xdr:rowOff>152400</xdr:rowOff>
    </xdr:from>
    <xdr:to>
      <xdr:col>9</xdr:col>
      <xdr:colOff>314325</xdr:colOff>
      <xdr:row>10</xdr:row>
      <xdr:rowOff>152400</xdr:rowOff>
    </xdr:to>
    <xdr:sp macro="" textlink="">
      <xdr:nvSpPr>
        <xdr:cNvPr id="7210" name="Line 42"/>
        <xdr:cNvSpPr>
          <a:spLocks noChangeShapeType="1"/>
        </xdr:cNvSpPr>
      </xdr:nvSpPr>
      <xdr:spPr bwMode="auto">
        <a:xfrm>
          <a:off x="4219575" y="2133600"/>
          <a:ext cx="17716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lgDashDot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552450</xdr:colOff>
      <xdr:row>10</xdr:row>
      <xdr:rowOff>76200</xdr:rowOff>
    </xdr:from>
    <xdr:to>
      <xdr:col>7</xdr:col>
      <xdr:colOff>38100</xdr:colOff>
      <xdr:row>10</xdr:row>
      <xdr:rowOff>228600</xdr:rowOff>
    </xdr:to>
    <xdr:sp macro="" textlink="">
      <xdr:nvSpPr>
        <xdr:cNvPr id="7211" name="Rectangle 43"/>
        <xdr:cNvSpPr>
          <a:spLocks noChangeArrowheads="1"/>
        </xdr:cNvSpPr>
      </xdr:nvSpPr>
      <xdr:spPr bwMode="auto">
        <a:xfrm>
          <a:off x="4314825" y="2057400"/>
          <a:ext cx="95250" cy="152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219075</xdr:colOff>
      <xdr:row>10</xdr:row>
      <xdr:rowOff>28575</xdr:rowOff>
    </xdr:from>
    <xdr:to>
      <xdr:col>9</xdr:col>
      <xdr:colOff>219075</xdr:colOff>
      <xdr:row>10</xdr:row>
      <xdr:rowOff>152400</xdr:rowOff>
    </xdr:to>
    <xdr:sp macro="" textlink="">
      <xdr:nvSpPr>
        <xdr:cNvPr id="7212" name="Line 44"/>
        <xdr:cNvSpPr>
          <a:spLocks noChangeShapeType="1"/>
        </xdr:cNvSpPr>
      </xdr:nvSpPr>
      <xdr:spPr bwMode="auto">
        <a:xfrm flipV="1">
          <a:off x="5895975" y="2009775"/>
          <a:ext cx="0" cy="1238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219075</xdr:colOff>
      <xdr:row>8</xdr:row>
      <xdr:rowOff>0</xdr:rowOff>
    </xdr:from>
    <xdr:to>
      <xdr:col>9</xdr:col>
      <xdr:colOff>219075</xdr:colOff>
      <xdr:row>8</xdr:row>
      <xdr:rowOff>133350</xdr:rowOff>
    </xdr:to>
    <xdr:sp macro="" textlink="">
      <xdr:nvSpPr>
        <xdr:cNvPr id="7213" name="Line 45"/>
        <xdr:cNvSpPr>
          <a:spLocks noChangeShapeType="1"/>
        </xdr:cNvSpPr>
      </xdr:nvSpPr>
      <xdr:spPr bwMode="auto">
        <a:xfrm>
          <a:off x="5895975" y="1581150"/>
          <a:ext cx="0" cy="1333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19050</xdr:colOff>
      <xdr:row>7</xdr:row>
      <xdr:rowOff>0</xdr:rowOff>
    </xdr:from>
    <xdr:to>
      <xdr:col>9</xdr:col>
      <xdr:colOff>9525</xdr:colOff>
      <xdr:row>7</xdr:row>
      <xdr:rowOff>0</xdr:rowOff>
    </xdr:to>
    <xdr:sp macro="" textlink="">
      <xdr:nvSpPr>
        <xdr:cNvPr id="8194" name="Line 2"/>
        <xdr:cNvSpPr>
          <a:spLocks noChangeShapeType="1"/>
        </xdr:cNvSpPr>
      </xdr:nvSpPr>
      <xdr:spPr bwMode="auto">
        <a:xfrm>
          <a:off x="4286250" y="1314450"/>
          <a:ext cx="120967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28575</xdr:colOff>
      <xdr:row>7</xdr:row>
      <xdr:rowOff>19050</xdr:rowOff>
    </xdr:from>
    <xdr:to>
      <xdr:col>7</xdr:col>
      <xdr:colOff>28575</xdr:colOff>
      <xdr:row>7</xdr:row>
      <xdr:rowOff>66675</xdr:rowOff>
    </xdr:to>
    <xdr:sp macro="" textlink="">
      <xdr:nvSpPr>
        <xdr:cNvPr id="8195" name="Line 3"/>
        <xdr:cNvSpPr>
          <a:spLocks noChangeShapeType="1"/>
        </xdr:cNvSpPr>
      </xdr:nvSpPr>
      <xdr:spPr bwMode="auto">
        <a:xfrm>
          <a:off x="4295775" y="1333500"/>
          <a:ext cx="0" cy="476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6</xdr:row>
      <xdr:rowOff>152400</xdr:rowOff>
    </xdr:from>
    <xdr:to>
      <xdr:col>9</xdr:col>
      <xdr:colOff>19050</xdr:colOff>
      <xdr:row>7</xdr:row>
      <xdr:rowOff>66675</xdr:rowOff>
    </xdr:to>
    <xdr:sp macro="" textlink="">
      <xdr:nvSpPr>
        <xdr:cNvPr id="8196" name="Line 4"/>
        <xdr:cNvSpPr>
          <a:spLocks noChangeShapeType="1"/>
        </xdr:cNvSpPr>
      </xdr:nvSpPr>
      <xdr:spPr bwMode="auto">
        <a:xfrm>
          <a:off x="5495925" y="1276350"/>
          <a:ext cx="9525" cy="10477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38100</xdr:colOff>
      <xdr:row>7</xdr:row>
      <xdr:rowOff>66675</xdr:rowOff>
    </xdr:from>
    <xdr:to>
      <xdr:col>7</xdr:col>
      <xdr:colOff>561975</xdr:colOff>
      <xdr:row>7</xdr:row>
      <xdr:rowOff>123825</xdr:rowOff>
    </xdr:to>
    <xdr:sp macro="" textlink="">
      <xdr:nvSpPr>
        <xdr:cNvPr id="8197" name="Line 5"/>
        <xdr:cNvSpPr>
          <a:spLocks noChangeShapeType="1"/>
        </xdr:cNvSpPr>
      </xdr:nvSpPr>
      <xdr:spPr bwMode="auto">
        <a:xfrm>
          <a:off x="4305300" y="1381125"/>
          <a:ext cx="523875" cy="5715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38100</xdr:colOff>
      <xdr:row>7</xdr:row>
      <xdr:rowOff>66675</xdr:rowOff>
    </xdr:from>
    <xdr:to>
      <xdr:col>9</xdr:col>
      <xdr:colOff>19050</xdr:colOff>
      <xdr:row>7</xdr:row>
      <xdr:rowOff>114300</xdr:rowOff>
    </xdr:to>
    <xdr:sp macro="" textlink="">
      <xdr:nvSpPr>
        <xdr:cNvPr id="8198" name="Line 6"/>
        <xdr:cNvSpPr>
          <a:spLocks noChangeShapeType="1"/>
        </xdr:cNvSpPr>
      </xdr:nvSpPr>
      <xdr:spPr bwMode="auto">
        <a:xfrm flipH="1">
          <a:off x="4914900" y="1381125"/>
          <a:ext cx="590550" cy="476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581025</xdr:colOff>
      <xdr:row>7</xdr:row>
      <xdr:rowOff>114300</xdr:rowOff>
    </xdr:from>
    <xdr:to>
      <xdr:col>7</xdr:col>
      <xdr:colOff>581025</xdr:colOff>
      <xdr:row>11</xdr:row>
      <xdr:rowOff>257175</xdr:rowOff>
    </xdr:to>
    <xdr:sp macro="" textlink="">
      <xdr:nvSpPr>
        <xdr:cNvPr id="8200" name="Line 8"/>
        <xdr:cNvSpPr>
          <a:spLocks noChangeShapeType="1"/>
        </xdr:cNvSpPr>
      </xdr:nvSpPr>
      <xdr:spPr bwMode="auto">
        <a:xfrm>
          <a:off x="4848225" y="1428750"/>
          <a:ext cx="0" cy="102870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9525</xdr:colOff>
      <xdr:row>7</xdr:row>
      <xdr:rowOff>114300</xdr:rowOff>
    </xdr:from>
    <xdr:to>
      <xdr:col>8</xdr:col>
      <xdr:colOff>9525</xdr:colOff>
      <xdr:row>11</xdr:row>
      <xdr:rowOff>247650</xdr:rowOff>
    </xdr:to>
    <xdr:sp macro="" textlink="">
      <xdr:nvSpPr>
        <xdr:cNvPr id="8203" name="Line 11"/>
        <xdr:cNvSpPr>
          <a:spLocks noChangeShapeType="1"/>
        </xdr:cNvSpPr>
      </xdr:nvSpPr>
      <xdr:spPr bwMode="auto">
        <a:xfrm>
          <a:off x="4886325" y="1428750"/>
          <a:ext cx="0" cy="101917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9525</xdr:colOff>
      <xdr:row>1</xdr:row>
      <xdr:rowOff>123825</xdr:rowOff>
    </xdr:from>
    <xdr:to>
      <xdr:col>7</xdr:col>
      <xdr:colOff>9525</xdr:colOff>
      <xdr:row>6</xdr:row>
      <xdr:rowOff>104775</xdr:rowOff>
    </xdr:to>
    <xdr:sp macro="" textlink="">
      <xdr:nvSpPr>
        <xdr:cNvPr id="8206" name="Line 14"/>
        <xdr:cNvSpPr>
          <a:spLocks noChangeShapeType="1"/>
        </xdr:cNvSpPr>
      </xdr:nvSpPr>
      <xdr:spPr bwMode="auto">
        <a:xfrm flipV="1">
          <a:off x="4276725" y="285750"/>
          <a:ext cx="0" cy="94297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</xdr:row>
      <xdr:rowOff>95250</xdr:rowOff>
    </xdr:from>
    <xdr:to>
      <xdr:col>9</xdr:col>
      <xdr:colOff>9525</xdr:colOff>
      <xdr:row>6</xdr:row>
      <xdr:rowOff>104775</xdr:rowOff>
    </xdr:to>
    <xdr:sp macro="" textlink="">
      <xdr:nvSpPr>
        <xdr:cNvPr id="8207" name="Line 15"/>
        <xdr:cNvSpPr>
          <a:spLocks noChangeShapeType="1"/>
        </xdr:cNvSpPr>
      </xdr:nvSpPr>
      <xdr:spPr bwMode="auto">
        <a:xfrm flipV="1">
          <a:off x="5495925" y="257175"/>
          <a:ext cx="0" cy="9715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2</xdr:row>
      <xdr:rowOff>9525</xdr:rowOff>
    </xdr:from>
    <xdr:to>
      <xdr:col>9</xdr:col>
      <xdr:colOff>47625</xdr:colOff>
      <xdr:row>2</xdr:row>
      <xdr:rowOff>9525</xdr:rowOff>
    </xdr:to>
    <xdr:sp macro="" textlink="">
      <xdr:nvSpPr>
        <xdr:cNvPr id="8208" name="Line 16"/>
        <xdr:cNvSpPr>
          <a:spLocks noChangeShapeType="1"/>
        </xdr:cNvSpPr>
      </xdr:nvSpPr>
      <xdr:spPr bwMode="auto">
        <a:xfrm>
          <a:off x="4267200" y="371475"/>
          <a:ext cx="126682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257175</xdr:colOff>
      <xdr:row>6</xdr:row>
      <xdr:rowOff>152400</xdr:rowOff>
    </xdr:from>
    <xdr:to>
      <xdr:col>7</xdr:col>
      <xdr:colOff>371475</xdr:colOff>
      <xdr:row>7</xdr:row>
      <xdr:rowOff>66675</xdr:rowOff>
    </xdr:to>
    <xdr:sp macro="" textlink="">
      <xdr:nvSpPr>
        <xdr:cNvPr id="8209" name="Rectangle 17"/>
        <xdr:cNvSpPr>
          <a:spLocks noChangeArrowheads="1"/>
        </xdr:cNvSpPr>
      </xdr:nvSpPr>
      <xdr:spPr bwMode="auto">
        <a:xfrm>
          <a:off x="4524375" y="1276350"/>
          <a:ext cx="114300" cy="104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276225</xdr:colOff>
      <xdr:row>6</xdr:row>
      <xdr:rowOff>152400</xdr:rowOff>
    </xdr:from>
    <xdr:to>
      <xdr:col>8</xdr:col>
      <xdr:colOff>361950</xdr:colOff>
      <xdr:row>7</xdr:row>
      <xdr:rowOff>76200</xdr:rowOff>
    </xdr:to>
    <xdr:sp macro="" textlink="">
      <xdr:nvSpPr>
        <xdr:cNvPr id="8210" name="Rectangle 18"/>
        <xdr:cNvSpPr>
          <a:spLocks noChangeArrowheads="1"/>
        </xdr:cNvSpPr>
      </xdr:nvSpPr>
      <xdr:spPr bwMode="auto">
        <a:xfrm>
          <a:off x="5153025" y="1276350"/>
          <a:ext cx="85725" cy="1143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314325</xdr:colOff>
      <xdr:row>2</xdr:row>
      <xdr:rowOff>247650</xdr:rowOff>
    </xdr:from>
    <xdr:to>
      <xdr:col>7</xdr:col>
      <xdr:colOff>314325</xdr:colOff>
      <xdr:row>8</xdr:row>
      <xdr:rowOff>0</xdr:rowOff>
    </xdr:to>
    <xdr:sp macro="" textlink="">
      <xdr:nvSpPr>
        <xdr:cNvPr id="8211" name="Line 19"/>
        <xdr:cNvSpPr>
          <a:spLocks noChangeShapeType="1"/>
        </xdr:cNvSpPr>
      </xdr:nvSpPr>
      <xdr:spPr bwMode="auto">
        <a:xfrm flipV="1">
          <a:off x="4581525" y="561975"/>
          <a:ext cx="0" cy="94297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lgDashDot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323850</xdr:colOff>
      <xdr:row>2</xdr:row>
      <xdr:rowOff>266700</xdr:rowOff>
    </xdr:from>
    <xdr:to>
      <xdr:col>8</xdr:col>
      <xdr:colOff>333375</xdr:colOff>
      <xdr:row>8</xdr:row>
      <xdr:rowOff>0</xdr:rowOff>
    </xdr:to>
    <xdr:sp macro="" textlink="">
      <xdr:nvSpPr>
        <xdr:cNvPr id="8212" name="Line 20"/>
        <xdr:cNvSpPr>
          <a:spLocks noChangeShapeType="1"/>
        </xdr:cNvSpPr>
      </xdr:nvSpPr>
      <xdr:spPr bwMode="auto">
        <a:xfrm flipH="1" flipV="1">
          <a:off x="5200650" y="561975"/>
          <a:ext cx="9525" cy="94297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lgDashDot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304800</xdr:colOff>
      <xdr:row>3</xdr:row>
      <xdr:rowOff>19050</xdr:rowOff>
    </xdr:from>
    <xdr:to>
      <xdr:col>8</xdr:col>
      <xdr:colOff>333375</xdr:colOff>
      <xdr:row>3</xdr:row>
      <xdr:rowOff>19050</xdr:rowOff>
    </xdr:to>
    <xdr:sp macro="" textlink="">
      <xdr:nvSpPr>
        <xdr:cNvPr id="8213" name="Line 21"/>
        <xdr:cNvSpPr>
          <a:spLocks noChangeShapeType="1"/>
        </xdr:cNvSpPr>
      </xdr:nvSpPr>
      <xdr:spPr bwMode="auto">
        <a:xfrm>
          <a:off x="4572000" y="581025"/>
          <a:ext cx="6381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419100</xdr:colOff>
      <xdr:row>7</xdr:row>
      <xdr:rowOff>0</xdr:rowOff>
    </xdr:from>
    <xdr:to>
      <xdr:col>6</xdr:col>
      <xdr:colOff>571500</xdr:colOff>
      <xdr:row>7</xdr:row>
      <xdr:rowOff>0</xdr:rowOff>
    </xdr:to>
    <xdr:sp macro="" textlink="">
      <xdr:nvSpPr>
        <xdr:cNvPr id="8214" name="Line 22"/>
        <xdr:cNvSpPr>
          <a:spLocks noChangeShapeType="1"/>
        </xdr:cNvSpPr>
      </xdr:nvSpPr>
      <xdr:spPr bwMode="auto">
        <a:xfrm flipH="1">
          <a:off x="3467100" y="1314450"/>
          <a:ext cx="7620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447675</xdr:colOff>
      <xdr:row>11</xdr:row>
      <xdr:rowOff>238125</xdr:rowOff>
    </xdr:from>
    <xdr:to>
      <xdr:col>7</xdr:col>
      <xdr:colOff>514350</xdr:colOff>
      <xdr:row>11</xdr:row>
      <xdr:rowOff>247650</xdr:rowOff>
    </xdr:to>
    <xdr:sp macro="" textlink="">
      <xdr:nvSpPr>
        <xdr:cNvPr id="8215" name="Line 23"/>
        <xdr:cNvSpPr>
          <a:spLocks noChangeShapeType="1"/>
        </xdr:cNvSpPr>
      </xdr:nvSpPr>
      <xdr:spPr bwMode="auto">
        <a:xfrm flipH="1">
          <a:off x="3495675" y="2438400"/>
          <a:ext cx="1285875" cy="95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552450</xdr:colOff>
      <xdr:row>7</xdr:row>
      <xdr:rowOff>9525</xdr:rowOff>
    </xdr:from>
    <xdr:to>
      <xdr:col>5</xdr:col>
      <xdr:colOff>552450</xdr:colOff>
      <xdr:row>11</xdr:row>
      <xdr:rowOff>266700</xdr:rowOff>
    </xdr:to>
    <xdr:sp macro="" textlink="">
      <xdr:nvSpPr>
        <xdr:cNvPr id="8216" name="Line 24"/>
        <xdr:cNvSpPr>
          <a:spLocks noChangeShapeType="1"/>
        </xdr:cNvSpPr>
      </xdr:nvSpPr>
      <xdr:spPr bwMode="auto">
        <a:xfrm flipV="1">
          <a:off x="3600450" y="1323975"/>
          <a:ext cx="0" cy="114300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190500</xdr:colOff>
      <xdr:row>10</xdr:row>
      <xdr:rowOff>200025</xdr:rowOff>
    </xdr:from>
    <xdr:to>
      <xdr:col>7</xdr:col>
      <xdr:colOff>571500</xdr:colOff>
      <xdr:row>10</xdr:row>
      <xdr:rowOff>200025</xdr:rowOff>
    </xdr:to>
    <xdr:sp macro="" textlink="">
      <xdr:nvSpPr>
        <xdr:cNvPr id="8217" name="Line 25"/>
        <xdr:cNvSpPr>
          <a:spLocks noChangeShapeType="1"/>
        </xdr:cNvSpPr>
      </xdr:nvSpPr>
      <xdr:spPr bwMode="auto">
        <a:xfrm>
          <a:off x="4457700" y="2105025"/>
          <a:ext cx="3810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</xdr:colOff>
      <xdr:row>10</xdr:row>
      <xdr:rowOff>190500</xdr:rowOff>
    </xdr:from>
    <xdr:to>
      <xdr:col>8</xdr:col>
      <xdr:colOff>304800</xdr:colOff>
      <xdr:row>10</xdr:row>
      <xdr:rowOff>190500</xdr:rowOff>
    </xdr:to>
    <xdr:sp macro="" textlink="">
      <xdr:nvSpPr>
        <xdr:cNvPr id="8218" name="Line 26"/>
        <xdr:cNvSpPr>
          <a:spLocks noChangeShapeType="1"/>
        </xdr:cNvSpPr>
      </xdr:nvSpPr>
      <xdr:spPr bwMode="auto">
        <a:xfrm>
          <a:off x="4895850" y="2095500"/>
          <a:ext cx="2857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180975</xdr:colOff>
      <xdr:row>7</xdr:row>
      <xdr:rowOff>114300</xdr:rowOff>
    </xdr:from>
    <xdr:to>
      <xdr:col>7</xdr:col>
      <xdr:colOff>123825</xdr:colOff>
      <xdr:row>7</xdr:row>
      <xdr:rowOff>114300</xdr:rowOff>
    </xdr:to>
    <xdr:sp macro="" textlink="">
      <xdr:nvSpPr>
        <xdr:cNvPr id="8219" name="Line 27"/>
        <xdr:cNvSpPr>
          <a:spLocks noChangeShapeType="1"/>
        </xdr:cNvSpPr>
      </xdr:nvSpPr>
      <xdr:spPr bwMode="auto">
        <a:xfrm flipH="1">
          <a:off x="3838575" y="1428750"/>
          <a:ext cx="5524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228600</xdr:colOff>
      <xdr:row>7</xdr:row>
      <xdr:rowOff>114300</xdr:rowOff>
    </xdr:from>
    <xdr:to>
      <xdr:col>6</xdr:col>
      <xdr:colOff>228600</xdr:colOff>
      <xdr:row>8</xdr:row>
      <xdr:rowOff>180975</xdr:rowOff>
    </xdr:to>
    <xdr:sp macro="" textlink="">
      <xdr:nvSpPr>
        <xdr:cNvPr id="8220" name="Line 28"/>
        <xdr:cNvSpPr>
          <a:spLocks noChangeShapeType="1"/>
        </xdr:cNvSpPr>
      </xdr:nvSpPr>
      <xdr:spPr bwMode="auto">
        <a:xfrm>
          <a:off x="3886200" y="1428750"/>
          <a:ext cx="0" cy="25717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228600</xdr:colOff>
      <xdr:row>5</xdr:row>
      <xdr:rowOff>76200</xdr:rowOff>
    </xdr:from>
    <xdr:to>
      <xdr:col>6</xdr:col>
      <xdr:colOff>228600</xdr:colOff>
      <xdr:row>6</xdr:row>
      <xdr:rowOff>171450</xdr:rowOff>
    </xdr:to>
    <xdr:sp macro="" textlink="">
      <xdr:nvSpPr>
        <xdr:cNvPr id="8221" name="Line 29"/>
        <xdr:cNvSpPr>
          <a:spLocks noChangeShapeType="1"/>
        </xdr:cNvSpPr>
      </xdr:nvSpPr>
      <xdr:spPr bwMode="auto">
        <a:xfrm flipV="1">
          <a:off x="3886200" y="1000125"/>
          <a:ext cx="0" cy="29527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314325</xdr:colOff>
      <xdr:row>5</xdr:row>
      <xdr:rowOff>85725</xdr:rowOff>
    </xdr:from>
    <xdr:to>
      <xdr:col>6</xdr:col>
      <xdr:colOff>219075</xdr:colOff>
      <xdr:row>5</xdr:row>
      <xdr:rowOff>85725</xdr:rowOff>
    </xdr:to>
    <xdr:sp macro="" textlink="">
      <xdr:nvSpPr>
        <xdr:cNvPr id="8222" name="Line 30"/>
        <xdr:cNvSpPr>
          <a:spLocks noChangeShapeType="1"/>
        </xdr:cNvSpPr>
      </xdr:nvSpPr>
      <xdr:spPr bwMode="auto">
        <a:xfrm>
          <a:off x="3362325" y="1009650"/>
          <a:ext cx="5143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95250</xdr:colOff>
      <xdr:row>7</xdr:row>
      <xdr:rowOff>0</xdr:rowOff>
    </xdr:from>
    <xdr:to>
      <xdr:col>10</xdr:col>
      <xdr:colOff>314325</xdr:colOff>
      <xdr:row>7</xdr:row>
      <xdr:rowOff>9525</xdr:rowOff>
    </xdr:to>
    <xdr:sp macro="" textlink="">
      <xdr:nvSpPr>
        <xdr:cNvPr id="8223" name="Line 31"/>
        <xdr:cNvSpPr>
          <a:spLocks noChangeShapeType="1"/>
        </xdr:cNvSpPr>
      </xdr:nvSpPr>
      <xdr:spPr bwMode="auto">
        <a:xfrm>
          <a:off x="5581650" y="1314450"/>
          <a:ext cx="904875" cy="95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76200</xdr:colOff>
      <xdr:row>7</xdr:row>
      <xdr:rowOff>133350</xdr:rowOff>
    </xdr:from>
    <xdr:to>
      <xdr:col>9</xdr:col>
      <xdr:colOff>571500</xdr:colOff>
      <xdr:row>7</xdr:row>
      <xdr:rowOff>133350</xdr:rowOff>
    </xdr:to>
    <xdr:sp macro="" textlink="">
      <xdr:nvSpPr>
        <xdr:cNvPr id="8224" name="Line 32"/>
        <xdr:cNvSpPr>
          <a:spLocks noChangeShapeType="1"/>
        </xdr:cNvSpPr>
      </xdr:nvSpPr>
      <xdr:spPr bwMode="auto">
        <a:xfrm>
          <a:off x="4953000" y="1447800"/>
          <a:ext cx="11049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514350</xdr:colOff>
      <xdr:row>5</xdr:row>
      <xdr:rowOff>142875</xdr:rowOff>
    </xdr:from>
    <xdr:to>
      <xdr:col>9</xdr:col>
      <xdr:colOff>514350</xdr:colOff>
      <xdr:row>6</xdr:row>
      <xdr:rowOff>180975</xdr:rowOff>
    </xdr:to>
    <xdr:sp macro="" textlink="">
      <xdr:nvSpPr>
        <xdr:cNvPr id="8225" name="Line 33"/>
        <xdr:cNvSpPr>
          <a:spLocks noChangeShapeType="1"/>
        </xdr:cNvSpPr>
      </xdr:nvSpPr>
      <xdr:spPr bwMode="auto">
        <a:xfrm flipV="1">
          <a:off x="6000750" y="1066800"/>
          <a:ext cx="0" cy="2381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523875</xdr:colOff>
      <xdr:row>7</xdr:row>
      <xdr:rowOff>133350</xdr:rowOff>
    </xdr:from>
    <xdr:to>
      <xdr:col>9</xdr:col>
      <xdr:colOff>523875</xdr:colOff>
      <xdr:row>9</xdr:row>
      <xdr:rowOff>0</xdr:rowOff>
    </xdr:to>
    <xdr:sp macro="" textlink="">
      <xdr:nvSpPr>
        <xdr:cNvPr id="8226" name="Line 34"/>
        <xdr:cNvSpPr>
          <a:spLocks noChangeShapeType="1"/>
        </xdr:cNvSpPr>
      </xdr:nvSpPr>
      <xdr:spPr bwMode="auto">
        <a:xfrm>
          <a:off x="6010275" y="1447800"/>
          <a:ext cx="0" cy="25717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523875</xdr:colOff>
      <xdr:row>5</xdr:row>
      <xdr:rowOff>133350</xdr:rowOff>
    </xdr:from>
    <xdr:to>
      <xdr:col>10</xdr:col>
      <xdr:colOff>66675</xdr:colOff>
      <xdr:row>5</xdr:row>
      <xdr:rowOff>133350</xdr:rowOff>
    </xdr:to>
    <xdr:sp macro="" textlink="">
      <xdr:nvSpPr>
        <xdr:cNvPr id="8227" name="Line 35"/>
        <xdr:cNvSpPr>
          <a:spLocks noChangeShapeType="1"/>
        </xdr:cNvSpPr>
      </xdr:nvSpPr>
      <xdr:spPr bwMode="auto">
        <a:xfrm>
          <a:off x="6010275" y="1057275"/>
          <a:ext cx="2286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457200</xdr:colOff>
      <xdr:row>9</xdr:row>
      <xdr:rowOff>152400</xdr:rowOff>
    </xdr:from>
    <xdr:to>
      <xdr:col>10</xdr:col>
      <xdr:colOff>314325</xdr:colOff>
      <xdr:row>9</xdr:row>
      <xdr:rowOff>152400</xdr:rowOff>
    </xdr:to>
    <xdr:sp macro="" textlink="">
      <xdr:nvSpPr>
        <xdr:cNvPr id="8228" name="Line 36"/>
        <xdr:cNvSpPr>
          <a:spLocks noChangeShapeType="1"/>
        </xdr:cNvSpPr>
      </xdr:nvSpPr>
      <xdr:spPr bwMode="auto">
        <a:xfrm>
          <a:off x="4724400" y="1857375"/>
          <a:ext cx="176212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lgDashDot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552450</xdr:colOff>
      <xdr:row>9</xdr:row>
      <xdr:rowOff>95250</xdr:rowOff>
    </xdr:from>
    <xdr:to>
      <xdr:col>8</xdr:col>
      <xdr:colOff>28575</xdr:colOff>
      <xdr:row>10</xdr:row>
      <xdr:rowOff>66675</xdr:rowOff>
    </xdr:to>
    <xdr:sp macro="" textlink="">
      <xdr:nvSpPr>
        <xdr:cNvPr id="8229" name="Rectangle 37"/>
        <xdr:cNvSpPr>
          <a:spLocks noChangeArrowheads="1"/>
        </xdr:cNvSpPr>
      </xdr:nvSpPr>
      <xdr:spPr bwMode="auto">
        <a:xfrm>
          <a:off x="4819650" y="1800225"/>
          <a:ext cx="85725" cy="1714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219075</xdr:colOff>
      <xdr:row>9</xdr:row>
      <xdr:rowOff>28575</xdr:rowOff>
    </xdr:from>
    <xdr:to>
      <xdr:col>10</xdr:col>
      <xdr:colOff>219075</xdr:colOff>
      <xdr:row>9</xdr:row>
      <xdr:rowOff>152400</xdr:rowOff>
    </xdr:to>
    <xdr:sp macro="" textlink="">
      <xdr:nvSpPr>
        <xdr:cNvPr id="8230" name="Line 38"/>
        <xdr:cNvSpPr>
          <a:spLocks noChangeShapeType="1"/>
        </xdr:cNvSpPr>
      </xdr:nvSpPr>
      <xdr:spPr bwMode="auto">
        <a:xfrm flipV="1">
          <a:off x="6391275" y="1733550"/>
          <a:ext cx="0" cy="1238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219075</xdr:colOff>
      <xdr:row>7</xdr:row>
      <xdr:rowOff>0</xdr:rowOff>
    </xdr:from>
    <xdr:to>
      <xdr:col>10</xdr:col>
      <xdr:colOff>219075</xdr:colOff>
      <xdr:row>7</xdr:row>
      <xdr:rowOff>133350</xdr:rowOff>
    </xdr:to>
    <xdr:sp macro="" textlink="">
      <xdr:nvSpPr>
        <xdr:cNvPr id="8231" name="Line 39"/>
        <xdr:cNvSpPr>
          <a:spLocks noChangeShapeType="1"/>
        </xdr:cNvSpPr>
      </xdr:nvSpPr>
      <xdr:spPr bwMode="auto">
        <a:xfrm>
          <a:off x="6391275" y="1314450"/>
          <a:ext cx="0" cy="1333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1</xdr:row>
      <xdr:rowOff>95250</xdr:rowOff>
    </xdr:from>
    <xdr:to>
      <xdr:col>6</xdr:col>
      <xdr:colOff>9525</xdr:colOff>
      <xdr:row>9</xdr:row>
      <xdr:rowOff>0</xdr:rowOff>
    </xdr:to>
    <xdr:sp macro="" textlink="">
      <xdr:nvSpPr>
        <xdr:cNvPr id="10241" name="Rectangle 1"/>
        <xdr:cNvSpPr>
          <a:spLocks noChangeArrowheads="1"/>
        </xdr:cNvSpPr>
      </xdr:nvSpPr>
      <xdr:spPr bwMode="auto">
        <a:xfrm>
          <a:off x="2505075" y="257175"/>
          <a:ext cx="1314450" cy="12001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57150</xdr:colOff>
      <xdr:row>1</xdr:row>
      <xdr:rowOff>142875</xdr:rowOff>
    </xdr:from>
    <xdr:to>
      <xdr:col>5</xdr:col>
      <xdr:colOff>685800</xdr:colOff>
      <xdr:row>8</xdr:row>
      <xdr:rowOff>104775</xdr:rowOff>
    </xdr:to>
    <xdr:sp macro="" textlink="">
      <xdr:nvSpPr>
        <xdr:cNvPr id="10242" name="Rectangle 2"/>
        <xdr:cNvSpPr>
          <a:spLocks noChangeArrowheads="1"/>
        </xdr:cNvSpPr>
      </xdr:nvSpPr>
      <xdr:spPr bwMode="auto">
        <a:xfrm>
          <a:off x="2552700" y="304800"/>
          <a:ext cx="1209675" cy="10953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19050</xdr:colOff>
      <xdr:row>9</xdr:row>
      <xdr:rowOff>19050</xdr:rowOff>
    </xdr:from>
    <xdr:to>
      <xdr:col>6</xdr:col>
      <xdr:colOff>381000</xdr:colOff>
      <xdr:row>11</xdr:row>
      <xdr:rowOff>133350</xdr:rowOff>
    </xdr:to>
    <xdr:sp macro="" textlink="">
      <xdr:nvSpPr>
        <xdr:cNvPr id="10243" name="Line 3"/>
        <xdr:cNvSpPr>
          <a:spLocks noChangeShapeType="1"/>
        </xdr:cNvSpPr>
      </xdr:nvSpPr>
      <xdr:spPr bwMode="auto">
        <a:xfrm>
          <a:off x="3829050" y="1476375"/>
          <a:ext cx="361950" cy="4381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390525</xdr:colOff>
      <xdr:row>11</xdr:row>
      <xdr:rowOff>133350</xdr:rowOff>
    </xdr:from>
    <xdr:to>
      <xdr:col>6</xdr:col>
      <xdr:colOff>600075</xdr:colOff>
      <xdr:row>11</xdr:row>
      <xdr:rowOff>161925</xdr:rowOff>
    </xdr:to>
    <xdr:sp macro="" textlink="">
      <xdr:nvSpPr>
        <xdr:cNvPr id="10244" name="Line 4"/>
        <xdr:cNvSpPr>
          <a:spLocks noChangeShapeType="1"/>
        </xdr:cNvSpPr>
      </xdr:nvSpPr>
      <xdr:spPr bwMode="auto">
        <a:xfrm>
          <a:off x="4200525" y="1914525"/>
          <a:ext cx="209550" cy="2857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342900</xdr:colOff>
      <xdr:row>12</xdr:row>
      <xdr:rowOff>142875</xdr:rowOff>
    </xdr:from>
    <xdr:to>
      <xdr:col>8</xdr:col>
      <xdr:colOff>533400</xdr:colOff>
      <xdr:row>12</xdr:row>
      <xdr:rowOff>142875</xdr:rowOff>
    </xdr:to>
    <xdr:sp macro="" textlink="">
      <xdr:nvSpPr>
        <xdr:cNvPr id="12290" name="Line 2"/>
        <xdr:cNvSpPr>
          <a:spLocks noChangeShapeType="1"/>
        </xdr:cNvSpPr>
      </xdr:nvSpPr>
      <xdr:spPr bwMode="auto">
        <a:xfrm>
          <a:off x="3209925" y="2533650"/>
          <a:ext cx="1752600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47625</xdr:colOff>
      <xdr:row>12</xdr:row>
      <xdr:rowOff>123825</xdr:rowOff>
    </xdr:from>
    <xdr:to>
      <xdr:col>13</xdr:col>
      <xdr:colOff>200025</xdr:colOff>
      <xdr:row>12</xdr:row>
      <xdr:rowOff>123825</xdr:rowOff>
    </xdr:to>
    <xdr:sp macro="" textlink="">
      <xdr:nvSpPr>
        <xdr:cNvPr id="12291" name="Line 3"/>
        <xdr:cNvSpPr>
          <a:spLocks noChangeShapeType="1"/>
        </xdr:cNvSpPr>
      </xdr:nvSpPr>
      <xdr:spPr bwMode="auto">
        <a:xfrm>
          <a:off x="5629275" y="2514600"/>
          <a:ext cx="1733550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295275</xdr:colOff>
          <xdr:row>1</xdr:row>
          <xdr:rowOff>28575</xdr:rowOff>
        </xdr:from>
        <xdr:to>
          <xdr:col>24</xdr:col>
          <xdr:colOff>171450</xdr:colOff>
          <xdr:row>1</xdr:row>
          <xdr:rowOff>2800350</xdr:rowOff>
        </xdr:to>
        <xdr:sp macro="" textlink="">
          <xdr:nvSpPr>
            <xdr:cNvPr id="37889" name="Object 1" hidden="1">
              <a:extLst>
                <a:ext uri="{63B3BB69-23CF-44E3-9099-C40C66FF867C}">
                  <a14:compatExt spid="_x0000_s378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</xdr:row>
          <xdr:rowOff>28575</xdr:rowOff>
        </xdr:from>
        <xdr:to>
          <xdr:col>24</xdr:col>
          <xdr:colOff>95250</xdr:colOff>
          <xdr:row>1</xdr:row>
          <xdr:rowOff>2790825</xdr:rowOff>
        </xdr:to>
        <xdr:sp macro="" textlink="">
          <xdr:nvSpPr>
            <xdr:cNvPr id="37890" name="Object 2" hidden="1">
              <a:extLst>
                <a:ext uri="{63B3BB69-23CF-44E3-9099-C40C66FF867C}">
                  <a14:compatExt spid="_x0000_s378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48</xdr:row>
      <xdr:rowOff>57150</xdr:rowOff>
    </xdr:from>
    <xdr:ext cx="2647950" cy="276225"/>
    <xdr:sp macro="" textlink="">
      <xdr:nvSpPr>
        <xdr:cNvPr id="29697" name="Text Box 1"/>
        <xdr:cNvSpPr txBox="1">
          <a:spLocks noChangeArrowheads="1"/>
        </xdr:cNvSpPr>
      </xdr:nvSpPr>
      <xdr:spPr bwMode="auto">
        <a:xfrm>
          <a:off x="2743200" y="8201025"/>
          <a:ext cx="26479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2004" rIns="0" bIns="0" anchor="t" upright="1">
          <a:spAutoFit/>
        </a:bodyPr>
        <a:lstStyle/>
        <a:p>
          <a:pPr algn="l" rtl="0">
            <a:defRPr sz="1000"/>
          </a:pPr>
          <a:r>
            <a:rPr lang="en-US" sz="1400" b="1" i="1" u="sng" strike="noStrike" baseline="0">
              <a:solidFill>
                <a:srgbClr val="0000FF"/>
              </a:solidFill>
              <a:latin typeface="Arial"/>
              <a:cs typeface="Arial"/>
            </a:rPr>
            <a:t>Oversized and Slotted Holes</a:t>
          </a:r>
        </a:p>
      </xdr:txBody>
    </xdr:sp>
    <xdr:clientData/>
  </xdr:oneCellAnchor>
  <xdr:twoCellAnchor>
    <xdr:from>
      <xdr:col>2</xdr:col>
      <xdr:colOff>638175</xdr:colOff>
      <xdr:row>79</xdr:row>
      <xdr:rowOff>38100</xdr:rowOff>
    </xdr:from>
    <xdr:to>
      <xdr:col>2</xdr:col>
      <xdr:colOff>771525</xdr:colOff>
      <xdr:row>79</xdr:row>
      <xdr:rowOff>171450</xdr:rowOff>
    </xdr:to>
    <xdr:sp macro="" textlink="">
      <xdr:nvSpPr>
        <xdr:cNvPr id="29700" name="AutoShape 4"/>
        <xdr:cNvSpPr>
          <a:spLocks noChangeArrowheads="1"/>
        </xdr:cNvSpPr>
      </xdr:nvSpPr>
      <xdr:spPr bwMode="auto">
        <a:xfrm>
          <a:off x="1438275" y="13620750"/>
          <a:ext cx="133350" cy="133350"/>
        </a:xfrm>
        <a:prstGeom prst="star5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905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657225</xdr:colOff>
      <xdr:row>80</xdr:row>
      <xdr:rowOff>38100</xdr:rowOff>
    </xdr:from>
    <xdr:to>
      <xdr:col>2</xdr:col>
      <xdr:colOff>790575</xdr:colOff>
      <xdr:row>80</xdr:row>
      <xdr:rowOff>171450</xdr:rowOff>
    </xdr:to>
    <xdr:sp macro="" textlink="">
      <xdr:nvSpPr>
        <xdr:cNvPr id="29701" name="AutoShape 5"/>
        <xdr:cNvSpPr>
          <a:spLocks noChangeArrowheads="1"/>
        </xdr:cNvSpPr>
      </xdr:nvSpPr>
      <xdr:spPr bwMode="auto">
        <a:xfrm>
          <a:off x="1457325" y="13820775"/>
          <a:ext cx="133350" cy="133350"/>
        </a:xfrm>
        <a:prstGeom prst="star5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905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28575</xdr:colOff>
      <xdr:row>84</xdr:row>
      <xdr:rowOff>28575</xdr:rowOff>
    </xdr:from>
    <xdr:to>
      <xdr:col>1</xdr:col>
      <xdr:colOff>161925</xdr:colOff>
      <xdr:row>85</xdr:row>
      <xdr:rowOff>0</xdr:rowOff>
    </xdr:to>
    <xdr:sp macro="" textlink="">
      <xdr:nvSpPr>
        <xdr:cNvPr id="29702" name="AutoShape 6"/>
        <xdr:cNvSpPr>
          <a:spLocks noChangeArrowheads="1"/>
        </xdr:cNvSpPr>
      </xdr:nvSpPr>
      <xdr:spPr bwMode="auto">
        <a:xfrm>
          <a:off x="76200" y="14497050"/>
          <a:ext cx="133350" cy="133350"/>
        </a:xfrm>
        <a:prstGeom prst="star5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905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57150</xdr:colOff>
      <xdr:row>23</xdr:row>
      <xdr:rowOff>19050</xdr:rowOff>
    </xdr:from>
    <xdr:to>
      <xdr:col>1</xdr:col>
      <xdr:colOff>190500</xdr:colOff>
      <xdr:row>23</xdr:row>
      <xdr:rowOff>152400</xdr:rowOff>
    </xdr:to>
    <xdr:sp macro="" textlink="">
      <xdr:nvSpPr>
        <xdr:cNvPr id="29703" name="AutoShape 7"/>
        <xdr:cNvSpPr>
          <a:spLocks noChangeArrowheads="1"/>
        </xdr:cNvSpPr>
      </xdr:nvSpPr>
      <xdr:spPr bwMode="auto">
        <a:xfrm>
          <a:off x="104775" y="3886200"/>
          <a:ext cx="133350" cy="133350"/>
        </a:xfrm>
        <a:prstGeom prst="star5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905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miter lim="800000"/>
          <a:headEnd/>
          <a:tailEnd/>
        </a:ln>
      </xdr:spPr>
    </xdr:sp>
    <xdr:clientData/>
  </xdr:twoCellAnchor>
  <xdr:oneCellAnchor>
    <xdr:from>
      <xdr:col>3</xdr:col>
      <xdr:colOff>800100</xdr:colOff>
      <xdr:row>0</xdr:row>
      <xdr:rowOff>66675</xdr:rowOff>
    </xdr:from>
    <xdr:ext cx="3238500" cy="276225"/>
    <xdr:sp macro="" textlink="">
      <xdr:nvSpPr>
        <xdr:cNvPr id="29704" name="Text Box 8"/>
        <xdr:cNvSpPr txBox="1">
          <a:spLocks noChangeArrowheads="1"/>
        </xdr:cNvSpPr>
      </xdr:nvSpPr>
      <xdr:spPr bwMode="auto">
        <a:xfrm>
          <a:off x="2457450" y="66675"/>
          <a:ext cx="3238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2004" rIns="0" bIns="0" anchor="t" upright="1">
          <a:spAutoFit/>
        </a:bodyPr>
        <a:lstStyle/>
        <a:p>
          <a:pPr algn="l" rtl="0">
            <a:defRPr sz="1000"/>
          </a:pPr>
          <a:r>
            <a:rPr lang="en-US" sz="1400" b="1" i="1" u="sng" strike="noStrike" baseline="0">
              <a:solidFill>
                <a:srgbClr val="FF0000"/>
              </a:solidFill>
              <a:latin typeface="Arial"/>
              <a:cs typeface="Arial"/>
            </a:rPr>
            <a:t>ASTM A325 &amp; A490 BOLTS &amp; NUTS</a:t>
          </a:r>
        </a:p>
      </xdr:txBody>
    </xdr:sp>
    <xdr:clientData/>
  </xdr:oneCellAnchor>
  <xdr:oneCellAnchor>
    <xdr:from>
      <xdr:col>1</xdr:col>
      <xdr:colOff>47625</xdr:colOff>
      <xdr:row>124</xdr:row>
      <xdr:rowOff>9525</xdr:rowOff>
    </xdr:from>
    <xdr:ext cx="5648325" cy="276225"/>
    <xdr:sp macro="" textlink="">
      <xdr:nvSpPr>
        <xdr:cNvPr id="29705" name="Text Box 9"/>
        <xdr:cNvSpPr txBox="1">
          <a:spLocks noChangeArrowheads="1"/>
        </xdr:cNvSpPr>
      </xdr:nvSpPr>
      <xdr:spPr bwMode="auto">
        <a:xfrm>
          <a:off x="95250" y="21145500"/>
          <a:ext cx="56483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2004" rIns="0" bIns="0" anchor="t" upright="1">
          <a:spAutoFit/>
        </a:bodyPr>
        <a:lstStyle/>
        <a:p>
          <a:pPr algn="l" rtl="0">
            <a:defRPr sz="1000"/>
          </a:pPr>
          <a:r>
            <a:rPr lang="en-US" sz="1400" b="1" i="1" u="sng" strike="noStrike" baseline="0">
              <a:solidFill>
                <a:srgbClr val="FF0000"/>
              </a:solidFill>
              <a:latin typeface="Arial"/>
              <a:cs typeface="Arial"/>
            </a:rPr>
            <a:t>ASTM A325 &amp; A490 BOLTS &amp; NUTS DIMENSIONS,</a:t>
          </a:r>
          <a:r>
            <a:rPr lang="en-US" sz="1400" b="1" i="1" u="sng" strike="noStrike" baseline="0">
              <a:solidFill>
                <a:srgbClr val="000000"/>
              </a:solidFill>
              <a:latin typeface="Arial"/>
              <a:cs typeface="Arial"/>
            </a:rPr>
            <a:t>Inches</a:t>
          </a:r>
          <a:r>
            <a:rPr lang="en-US" sz="1400" b="1" i="1" u="sng" strike="noStrike" baseline="0">
              <a:solidFill>
                <a:srgbClr val="FF0000"/>
              </a:solidFill>
              <a:latin typeface="Arial"/>
              <a:cs typeface="Arial"/>
            </a:rPr>
            <a:t> (mm)</a:t>
          </a:r>
        </a:p>
      </xdr:txBody>
    </xdr:sp>
    <xdr:clientData/>
  </xdr:oneCellAnchor>
  <xdr:oneCellAnchor>
    <xdr:from>
      <xdr:col>3</xdr:col>
      <xdr:colOff>495300</xdr:colOff>
      <xdr:row>142</xdr:row>
      <xdr:rowOff>28575</xdr:rowOff>
    </xdr:from>
    <xdr:ext cx="3400425" cy="276225"/>
    <xdr:sp macro="" textlink="">
      <xdr:nvSpPr>
        <xdr:cNvPr id="29706" name="Text Box 10"/>
        <xdr:cNvSpPr txBox="1">
          <a:spLocks noChangeArrowheads="1"/>
        </xdr:cNvSpPr>
      </xdr:nvSpPr>
      <xdr:spPr bwMode="auto">
        <a:xfrm>
          <a:off x="2152650" y="24250650"/>
          <a:ext cx="34004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2004" rIns="0" bIns="0" anchor="t" upright="1">
          <a:spAutoFit/>
        </a:bodyPr>
        <a:lstStyle/>
        <a:p>
          <a:pPr algn="l" rtl="0">
            <a:defRPr sz="1000"/>
          </a:pPr>
          <a:r>
            <a:rPr lang="en-US" sz="1400" b="1" i="1" u="sng" strike="noStrike" baseline="0">
              <a:solidFill>
                <a:srgbClr val="FF0000"/>
              </a:solidFill>
              <a:latin typeface="Arial"/>
              <a:cs typeface="Arial"/>
            </a:rPr>
            <a:t>WASHER DIMENSIONS, </a:t>
          </a:r>
          <a:r>
            <a:rPr lang="en-US" sz="1400" b="1" i="1" u="sng" strike="noStrike" baseline="0">
              <a:solidFill>
                <a:srgbClr val="000000"/>
              </a:solidFill>
              <a:latin typeface="Arial"/>
              <a:cs typeface="Arial"/>
            </a:rPr>
            <a:t>Inches</a:t>
          </a:r>
          <a:r>
            <a:rPr lang="en-US" sz="1400" b="1" i="1" u="sng" strike="noStrike" baseline="0">
              <a:solidFill>
                <a:srgbClr val="FF0000"/>
              </a:solidFill>
              <a:latin typeface="Arial"/>
              <a:cs typeface="Arial"/>
            </a:rPr>
            <a:t> (mm)</a:t>
          </a:r>
        </a:p>
      </xdr:txBody>
    </xdr:sp>
    <xdr:clientData/>
  </xdr:oneCellAnchor>
  <xdr:twoCellAnchor>
    <xdr:from>
      <xdr:col>1</xdr:col>
      <xdr:colOff>28575</xdr:colOff>
      <xdr:row>44</xdr:row>
      <xdr:rowOff>19050</xdr:rowOff>
    </xdr:from>
    <xdr:to>
      <xdr:col>1</xdr:col>
      <xdr:colOff>161925</xdr:colOff>
      <xdr:row>44</xdr:row>
      <xdr:rowOff>152400</xdr:rowOff>
    </xdr:to>
    <xdr:sp macro="" textlink="">
      <xdr:nvSpPr>
        <xdr:cNvPr id="29707" name="AutoShape 11"/>
        <xdr:cNvSpPr>
          <a:spLocks noChangeArrowheads="1"/>
        </xdr:cNvSpPr>
      </xdr:nvSpPr>
      <xdr:spPr bwMode="auto">
        <a:xfrm>
          <a:off x="76200" y="7486650"/>
          <a:ext cx="133350" cy="133350"/>
        </a:xfrm>
        <a:prstGeom prst="star5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905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485775</xdr:colOff>
      <xdr:row>119</xdr:row>
      <xdr:rowOff>95250</xdr:rowOff>
    </xdr:from>
    <xdr:to>
      <xdr:col>2</xdr:col>
      <xdr:colOff>142875</xdr:colOff>
      <xdr:row>121</xdr:row>
      <xdr:rowOff>66675</xdr:rowOff>
    </xdr:to>
    <xdr:sp macro="" textlink="">
      <xdr:nvSpPr>
        <xdr:cNvPr id="29708" name="AutoShape 12"/>
        <xdr:cNvSpPr>
          <a:spLocks noChangeArrowheads="1"/>
        </xdr:cNvSpPr>
      </xdr:nvSpPr>
      <xdr:spPr bwMode="auto">
        <a:xfrm>
          <a:off x="533400" y="20421600"/>
          <a:ext cx="409575" cy="295275"/>
        </a:xfrm>
        <a:prstGeom prst="hexagon">
          <a:avLst>
            <a:gd name="adj" fmla="val 34677"/>
            <a:gd name="vf" fmla="val 11547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57150</xdr:colOff>
      <xdr:row>119</xdr:row>
      <xdr:rowOff>95250</xdr:rowOff>
    </xdr:from>
    <xdr:to>
      <xdr:col>1</xdr:col>
      <xdr:colOff>504825</xdr:colOff>
      <xdr:row>119</xdr:row>
      <xdr:rowOff>95250</xdr:rowOff>
    </xdr:to>
    <xdr:sp macro="" textlink="">
      <xdr:nvSpPr>
        <xdr:cNvPr id="29709" name="Line 13"/>
        <xdr:cNvSpPr>
          <a:spLocks noChangeShapeType="1"/>
        </xdr:cNvSpPr>
      </xdr:nvSpPr>
      <xdr:spPr bwMode="auto">
        <a:xfrm flipH="1">
          <a:off x="104775" y="20421600"/>
          <a:ext cx="4476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</xdr:colOff>
      <xdr:row>121</xdr:row>
      <xdr:rowOff>66675</xdr:rowOff>
    </xdr:from>
    <xdr:to>
      <xdr:col>1</xdr:col>
      <xdr:colOff>495300</xdr:colOff>
      <xdr:row>121</xdr:row>
      <xdr:rowOff>66675</xdr:rowOff>
    </xdr:to>
    <xdr:sp macro="" textlink="">
      <xdr:nvSpPr>
        <xdr:cNvPr id="29710" name="Line 14"/>
        <xdr:cNvSpPr>
          <a:spLocks noChangeShapeType="1"/>
        </xdr:cNvSpPr>
      </xdr:nvSpPr>
      <xdr:spPr bwMode="auto">
        <a:xfrm flipH="1">
          <a:off x="95250" y="20716875"/>
          <a:ext cx="4476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95250</xdr:colOff>
      <xdr:row>118</xdr:row>
      <xdr:rowOff>66675</xdr:rowOff>
    </xdr:from>
    <xdr:to>
      <xdr:col>1</xdr:col>
      <xdr:colOff>95250</xdr:colOff>
      <xdr:row>119</xdr:row>
      <xdr:rowOff>95250</xdr:rowOff>
    </xdr:to>
    <xdr:sp macro="" textlink="">
      <xdr:nvSpPr>
        <xdr:cNvPr id="29711" name="Line 15"/>
        <xdr:cNvSpPr>
          <a:spLocks noChangeShapeType="1"/>
        </xdr:cNvSpPr>
      </xdr:nvSpPr>
      <xdr:spPr bwMode="auto">
        <a:xfrm flipV="1">
          <a:off x="142875" y="20231100"/>
          <a:ext cx="0" cy="1905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104775</xdr:colOff>
      <xdr:row>121</xdr:row>
      <xdr:rowOff>66675</xdr:rowOff>
    </xdr:from>
    <xdr:to>
      <xdr:col>1</xdr:col>
      <xdr:colOff>114300</xdr:colOff>
      <xdr:row>122</xdr:row>
      <xdr:rowOff>85725</xdr:rowOff>
    </xdr:to>
    <xdr:sp macro="" textlink="">
      <xdr:nvSpPr>
        <xdr:cNvPr id="29712" name="Line 16"/>
        <xdr:cNvSpPr>
          <a:spLocks noChangeShapeType="1"/>
        </xdr:cNvSpPr>
      </xdr:nvSpPr>
      <xdr:spPr bwMode="auto">
        <a:xfrm flipH="1" flipV="1">
          <a:off x="152400" y="20716875"/>
          <a:ext cx="9525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</xdr:col>
      <xdr:colOff>47625</xdr:colOff>
      <xdr:row>119</xdr:row>
      <xdr:rowOff>142875</xdr:rowOff>
    </xdr:from>
    <xdr:ext cx="152400" cy="200025"/>
    <xdr:sp macro="" textlink="">
      <xdr:nvSpPr>
        <xdr:cNvPr id="29713" name="Text Box 17"/>
        <xdr:cNvSpPr txBox="1">
          <a:spLocks noChangeArrowheads="1"/>
        </xdr:cNvSpPr>
      </xdr:nvSpPr>
      <xdr:spPr bwMode="auto">
        <a:xfrm>
          <a:off x="95250" y="20469225"/>
          <a:ext cx="1524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FF0000"/>
              </a:solidFill>
              <a:latin typeface="Arial"/>
              <a:cs typeface="Arial"/>
            </a:rPr>
            <a:t>F</a:t>
          </a:r>
        </a:p>
      </xdr:txBody>
    </xdr:sp>
    <xdr:clientData/>
  </xdr:oneCellAnchor>
  <xdr:twoCellAnchor>
    <xdr:from>
      <xdr:col>2</xdr:col>
      <xdr:colOff>409575</xdr:colOff>
      <xdr:row>119</xdr:row>
      <xdr:rowOff>85725</xdr:rowOff>
    </xdr:from>
    <xdr:to>
      <xdr:col>2</xdr:col>
      <xdr:colOff>561975</xdr:colOff>
      <xdr:row>121</xdr:row>
      <xdr:rowOff>66675</xdr:rowOff>
    </xdr:to>
    <xdr:sp macro="" textlink="">
      <xdr:nvSpPr>
        <xdr:cNvPr id="29714" name="Rectangle 18"/>
        <xdr:cNvSpPr>
          <a:spLocks noChangeArrowheads="1"/>
        </xdr:cNvSpPr>
      </xdr:nvSpPr>
      <xdr:spPr bwMode="auto">
        <a:xfrm>
          <a:off x="1209675" y="20412075"/>
          <a:ext cx="152400" cy="304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905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419100</xdr:colOff>
      <xdr:row>120</xdr:row>
      <xdr:rowOff>76200</xdr:rowOff>
    </xdr:from>
    <xdr:to>
      <xdr:col>2</xdr:col>
      <xdr:colOff>552450</xdr:colOff>
      <xdr:row>120</xdr:row>
      <xdr:rowOff>76200</xdr:rowOff>
    </xdr:to>
    <xdr:sp macro="" textlink="">
      <xdr:nvSpPr>
        <xdr:cNvPr id="29715" name="Line 19"/>
        <xdr:cNvSpPr>
          <a:spLocks noChangeShapeType="1"/>
        </xdr:cNvSpPr>
      </xdr:nvSpPr>
      <xdr:spPr bwMode="auto">
        <a:xfrm>
          <a:off x="1219200" y="20564475"/>
          <a:ext cx="1333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571500</xdr:colOff>
      <xdr:row>120</xdr:row>
      <xdr:rowOff>0</xdr:rowOff>
    </xdr:from>
    <xdr:to>
      <xdr:col>3</xdr:col>
      <xdr:colOff>371475</xdr:colOff>
      <xdr:row>120</xdr:row>
      <xdr:rowOff>142875</xdr:rowOff>
    </xdr:to>
    <xdr:sp macro="" textlink="">
      <xdr:nvSpPr>
        <xdr:cNvPr id="29716" name="Rectangle 20"/>
        <xdr:cNvSpPr>
          <a:spLocks noChangeArrowheads="1"/>
        </xdr:cNvSpPr>
      </xdr:nvSpPr>
      <xdr:spPr bwMode="auto">
        <a:xfrm>
          <a:off x="1371600" y="20488275"/>
          <a:ext cx="657225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905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333375</xdr:colOff>
      <xdr:row>120</xdr:row>
      <xdr:rowOff>38100</xdr:rowOff>
    </xdr:from>
    <xdr:to>
      <xdr:col>3</xdr:col>
      <xdr:colOff>333375</xdr:colOff>
      <xdr:row>120</xdr:row>
      <xdr:rowOff>104775</xdr:rowOff>
    </xdr:to>
    <xdr:sp macro="" textlink="">
      <xdr:nvSpPr>
        <xdr:cNvPr id="29717" name="Line 21"/>
        <xdr:cNvSpPr>
          <a:spLocks noChangeShapeType="1"/>
        </xdr:cNvSpPr>
      </xdr:nvSpPr>
      <xdr:spPr bwMode="auto">
        <a:xfrm>
          <a:off x="1990725" y="20526375"/>
          <a:ext cx="0" cy="666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285750</xdr:colOff>
      <xdr:row>120</xdr:row>
      <xdr:rowOff>38100</xdr:rowOff>
    </xdr:from>
    <xdr:to>
      <xdr:col>3</xdr:col>
      <xdr:colOff>285750</xdr:colOff>
      <xdr:row>120</xdr:row>
      <xdr:rowOff>104775</xdr:rowOff>
    </xdr:to>
    <xdr:sp macro="" textlink="">
      <xdr:nvSpPr>
        <xdr:cNvPr id="29718" name="Line 22"/>
        <xdr:cNvSpPr>
          <a:spLocks noChangeShapeType="1"/>
        </xdr:cNvSpPr>
      </xdr:nvSpPr>
      <xdr:spPr bwMode="auto">
        <a:xfrm>
          <a:off x="1943100" y="20526375"/>
          <a:ext cx="0" cy="666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238125</xdr:colOff>
      <xdr:row>120</xdr:row>
      <xdr:rowOff>38100</xdr:rowOff>
    </xdr:from>
    <xdr:to>
      <xdr:col>3</xdr:col>
      <xdr:colOff>238125</xdr:colOff>
      <xdr:row>120</xdr:row>
      <xdr:rowOff>104775</xdr:rowOff>
    </xdr:to>
    <xdr:sp macro="" textlink="">
      <xdr:nvSpPr>
        <xdr:cNvPr id="29719" name="Line 23"/>
        <xdr:cNvSpPr>
          <a:spLocks noChangeShapeType="1"/>
        </xdr:cNvSpPr>
      </xdr:nvSpPr>
      <xdr:spPr bwMode="auto">
        <a:xfrm>
          <a:off x="1895475" y="20526375"/>
          <a:ext cx="0" cy="666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190500</xdr:colOff>
      <xdr:row>120</xdr:row>
      <xdr:rowOff>38100</xdr:rowOff>
    </xdr:from>
    <xdr:to>
      <xdr:col>3</xdr:col>
      <xdr:colOff>190500</xdr:colOff>
      <xdr:row>120</xdr:row>
      <xdr:rowOff>104775</xdr:rowOff>
    </xdr:to>
    <xdr:sp macro="" textlink="">
      <xdr:nvSpPr>
        <xdr:cNvPr id="29721" name="Line 25"/>
        <xdr:cNvSpPr>
          <a:spLocks noChangeShapeType="1"/>
        </xdr:cNvSpPr>
      </xdr:nvSpPr>
      <xdr:spPr bwMode="auto">
        <a:xfrm>
          <a:off x="1847850" y="20526375"/>
          <a:ext cx="0" cy="666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142875</xdr:colOff>
      <xdr:row>120</xdr:row>
      <xdr:rowOff>38100</xdr:rowOff>
    </xdr:from>
    <xdr:to>
      <xdr:col>3</xdr:col>
      <xdr:colOff>142875</xdr:colOff>
      <xdr:row>120</xdr:row>
      <xdr:rowOff>104775</xdr:rowOff>
    </xdr:to>
    <xdr:sp macro="" textlink="">
      <xdr:nvSpPr>
        <xdr:cNvPr id="29722" name="Line 26"/>
        <xdr:cNvSpPr>
          <a:spLocks noChangeShapeType="1"/>
        </xdr:cNvSpPr>
      </xdr:nvSpPr>
      <xdr:spPr bwMode="auto">
        <a:xfrm>
          <a:off x="1800225" y="20526375"/>
          <a:ext cx="0" cy="666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409575</xdr:colOff>
      <xdr:row>121</xdr:row>
      <xdr:rowOff>123825</xdr:rowOff>
    </xdr:from>
    <xdr:to>
      <xdr:col>2</xdr:col>
      <xdr:colOff>409575</xdr:colOff>
      <xdr:row>123</xdr:row>
      <xdr:rowOff>104775</xdr:rowOff>
    </xdr:to>
    <xdr:sp macro="" textlink="">
      <xdr:nvSpPr>
        <xdr:cNvPr id="29725" name="Line 29"/>
        <xdr:cNvSpPr>
          <a:spLocks noChangeShapeType="1"/>
        </xdr:cNvSpPr>
      </xdr:nvSpPr>
      <xdr:spPr bwMode="auto">
        <a:xfrm>
          <a:off x="1209675" y="20774025"/>
          <a:ext cx="0" cy="3048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561975</xdr:colOff>
      <xdr:row>121</xdr:row>
      <xdr:rowOff>123825</xdr:rowOff>
    </xdr:from>
    <xdr:to>
      <xdr:col>2</xdr:col>
      <xdr:colOff>561975</xdr:colOff>
      <xdr:row>123</xdr:row>
      <xdr:rowOff>104775</xdr:rowOff>
    </xdr:to>
    <xdr:sp macro="" textlink="">
      <xdr:nvSpPr>
        <xdr:cNvPr id="29726" name="Line 30"/>
        <xdr:cNvSpPr>
          <a:spLocks noChangeShapeType="1"/>
        </xdr:cNvSpPr>
      </xdr:nvSpPr>
      <xdr:spPr bwMode="auto">
        <a:xfrm>
          <a:off x="1362075" y="20774025"/>
          <a:ext cx="0" cy="3048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371475</xdr:colOff>
      <xdr:row>121</xdr:row>
      <xdr:rowOff>28575</xdr:rowOff>
    </xdr:from>
    <xdr:to>
      <xdr:col>3</xdr:col>
      <xdr:colOff>371475</xdr:colOff>
      <xdr:row>123</xdr:row>
      <xdr:rowOff>95250</xdr:rowOff>
    </xdr:to>
    <xdr:sp macro="" textlink="">
      <xdr:nvSpPr>
        <xdr:cNvPr id="29727" name="Line 31"/>
        <xdr:cNvSpPr>
          <a:spLocks noChangeShapeType="1"/>
        </xdr:cNvSpPr>
      </xdr:nvSpPr>
      <xdr:spPr bwMode="auto">
        <a:xfrm>
          <a:off x="2028825" y="20678775"/>
          <a:ext cx="0" cy="390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571500</xdr:colOff>
      <xdr:row>123</xdr:row>
      <xdr:rowOff>76200</xdr:rowOff>
    </xdr:from>
    <xdr:to>
      <xdr:col>3</xdr:col>
      <xdr:colOff>361950</xdr:colOff>
      <xdr:row>123</xdr:row>
      <xdr:rowOff>76200</xdr:rowOff>
    </xdr:to>
    <xdr:sp macro="" textlink="">
      <xdr:nvSpPr>
        <xdr:cNvPr id="29728" name="Line 32"/>
        <xdr:cNvSpPr>
          <a:spLocks noChangeShapeType="1"/>
        </xdr:cNvSpPr>
      </xdr:nvSpPr>
      <xdr:spPr bwMode="auto">
        <a:xfrm>
          <a:off x="1371600" y="21050250"/>
          <a:ext cx="6477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</xdr:col>
      <xdr:colOff>590550</xdr:colOff>
      <xdr:row>122</xdr:row>
      <xdr:rowOff>47625</xdr:rowOff>
    </xdr:from>
    <xdr:ext cx="676275" cy="180975"/>
    <xdr:sp macro="" textlink="">
      <xdr:nvSpPr>
        <xdr:cNvPr id="29729" name="Text Box 33"/>
        <xdr:cNvSpPr txBox="1">
          <a:spLocks noChangeArrowheads="1"/>
        </xdr:cNvSpPr>
      </xdr:nvSpPr>
      <xdr:spPr bwMode="auto">
        <a:xfrm>
          <a:off x="1390650" y="20859750"/>
          <a:ext cx="6762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Bolt Length</a:t>
          </a:r>
        </a:p>
      </xdr:txBody>
    </xdr:sp>
    <xdr:clientData/>
  </xdr:oneCellAnchor>
  <xdr:twoCellAnchor>
    <xdr:from>
      <xdr:col>2</xdr:col>
      <xdr:colOff>247650</xdr:colOff>
      <xdr:row>123</xdr:row>
      <xdr:rowOff>76200</xdr:rowOff>
    </xdr:from>
    <xdr:to>
      <xdr:col>2</xdr:col>
      <xdr:colOff>390525</xdr:colOff>
      <xdr:row>123</xdr:row>
      <xdr:rowOff>76200</xdr:rowOff>
    </xdr:to>
    <xdr:sp macro="" textlink="">
      <xdr:nvSpPr>
        <xdr:cNvPr id="29730" name="Line 34"/>
        <xdr:cNvSpPr>
          <a:spLocks noChangeShapeType="1"/>
        </xdr:cNvSpPr>
      </xdr:nvSpPr>
      <xdr:spPr bwMode="auto">
        <a:xfrm flipH="1">
          <a:off x="1047750" y="21050250"/>
          <a:ext cx="1428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</xdr:col>
      <xdr:colOff>428625</xdr:colOff>
      <xdr:row>122</xdr:row>
      <xdr:rowOff>114300</xdr:rowOff>
    </xdr:from>
    <xdr:ext cx="142875" cy="180975"/>
    <xdr:sp macro="" textlink="">
      <xdr:nvSpPr>
        <xdr:cNvPr id="29731" name="Text Box 35"/>
        <xdr:cNvSpPr txBox="1">
          <a:spLocks noChangeArrowheads="1"/>
        </xdr:cNvSpPr>
      </xdr:nvSpPr>
      <xdr:spPr bwMode="auto">
        <a:xfrm>
          <a:off x="1228725" y="20926425"/>
          <a:ext cx="1428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1" i="0" u="none" strike="noStrike" baseline="0">
              <a:solidFill>
                <a:srgbClr val="FF0000"/>
              </a:solidFill>
              <a:latin typeface="Arial"/>
              <a:cs typeface="Arial"/>
            </a:rPr>
            <a:t>H</a:t>
          </a:r>
        </a:p>
      </xdr:txBody>
    </xdr:sp>
    <xdr:clientData/>
  </xdr:oneCellAnchor>
  <xdr:twoCellAnchor>
    <xdr:from>
      <xdr:col>4</xdr:col>
      <xdr:colOff>142875</xdr:colOff>
      <xdr:row>119</xdr:row>
      <xdr:rowOff>95250</xdr:rowOff>
    </xdr:from>
    <xdr:to>
      <xdr:col>4</xdr:col>
      <xdr:colOff>466725</xdr:colOff>
      <xdr:row>121</xdr:row>
      <xdr:rowOff>66675</xdr:rowOff>
    </xdr:to>
    <xdr:sp macro="" textlink="">
      <xdr:nvSpPr>
        <xdr:cNvPr id="29732" name="AutoShape 36"/>
        <xdr:cNvSpPr>
          <a:spLocks noChangeArrowheads="1"/>
        </xdr:cNvSpPr>
      </xdr:nvSpPr>
      <xdr:spPr bwMode="auto">
        <a:xfrm>
          <a:off x="2886075" y="20421600"/>
          <a:ext cx="323850" cy="295275"/>
        </a:xfrm>
        <a:prstGeom prst="hexagon">
          <a:avLst>
            <a:gd name="adj" fmla="val 27419"/>
            <a:gd name="vf" fmla="val 11547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952500</xdr:colOff>
      <xdr:row>119</xdr:row>
      <xdr:rowOff>85725</xdr:rowOff>
    </xdr:from>
    <xdr:to>
      <xdr:col>7</xdr:col>
      <xdr:colOff>9525</xdr:colOff>
      <xdr:row>121</xdr:row>
      <xdr:rowOff>66675</xdr:rowOff>
    </xdr:to>
    <xdr:sp macro="" textlink="">
      <xdr:nvSpPr>
        <xdr:cNvPr id="29733" name="Rectangle 37"/>
        <xdr:cNvSpPr>
          <a:spLocks noChangeArrowheads="1"/>
        </xdr:cNvSpPr>
      </xdr:nvSpPr>
      <xdr:spPr bwMode="auto">
        <a:xfrm>
          <a:off x="3695700" y="20412075"/>
          <a:ext cx="152400" cy="304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905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952500</xdr:colOff>
      <xdr:row>120</xdr:row>
      <xdr:rowOff>66675</xdr:rowOff>
    </xdr:from>
    <xdr:to>
      <xdr:col>4</xdr:col>
      <xdr:colOff>1085850</xdr:colOff>
      <xdr:row>120</xdr:row>
      <xdr:rowOff>66675</xdr:rowOff>
    </xdr:to>
    <xdr:sp macro="" textlink="">
      <xdr:nvSpPr>
        <xdr:cNvPr id="29734" name="Line 38"/>
        <xdr:cNvSpPr>
          <a:spLocks noChangeShapeType="1"/>
        </xdr:cNvSpPr>
      </xdr:nvSpPr>
      <xdr:spPr bwMode="auto">
        <a:xfrm>
          <a:off x="3695700" y="20554950"/>
          <a:ext cx="1333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238125</xdr:colOff>
      <xdr:row>120</xdr:row>
      <xdr:rowOff>19050</xdr:rowOff>
    </xdr:from>
    <xdr:to>
      <xdr:col>4</xdr:col>
      <xdr:colOff>371475</xdr:colOff>
      <xdr:row>121</xdr:row>
      <xdr:rowOff>0</xdr:rowOff>
    </xdr:to>
    <xdr:sp macro="" textlink="">
      <xdr:nvSpPr>
        <xdr:cNvPr id="29735" name="Oval 39"/>
        <xdr:cNvSpPr>
          <a:spLocks noChangeArrowheads="1"/>
        </xdr:cNvSpPr>
      </xdr:nvSpPr>
      <xdr:spPr bwMode="auto">
        <a:xfrm>
          <a:off x="2981325" y="20507325"/>
          <a:ext cx="133350" cy="14287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905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</xdr:spPr>
    </xdr:sp>
    <xdr:clientData/>
  </xdr:twoCellAnchor>
  <xdr:twoCellAnchor>
    <xdr:from>
      <xdr:col>4</xdr:col>
      <xdr:colOff>457200</xdr:colOff>
      <xdr:row>121</xdr:row>
      <xdr:rowOff>66675</xdr:rowOff>
    </xdr:from>
    <xdr:to>
      <xdr:col>4</xdr:col>
      <xdr:colOff>885825</xdr:colOff>
      <xdr:row>121</xdr:row>
      <xdr:rowOff>66675</xdr:rowOff>
    </xdr:to>
    <xdr:sp macro="" textlink="">
      <xdr:nvSpPr>
        <xdr:cNvPr id="29736" name="Line 40"/>
        <xdr:cNvSpPr>
          <a:spLocks noChangeShapeType="1"/>
        </xdr:cNvSpPr>
      </xdr:nvSpPr>
      <xdr:spPr bwMode="auto">
        <a:xfrm>
          <a:off x="3200400" y="20716875"/>
          <a:ext cx="4286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466725</xdr:colOff>
      <xdr:row>119</xdr:row>
      <xdr:rowOff>85725</xdr:rowOff>
    </xdr:from>
    <xdr:to>
      <xdr:col>4</xdr:col>
      <xdr:colOff>895350</xdr:colOff>
      <xdr:row>119</xdr:row>
      <xdr:rowOff>85725</xdr:rowOff>
    </xdr:to>
    <xdr:sp macro="" textlink="">
      <xdr:nvSpPr>
        <xdr:cNvPr id="29737" name="Line 41"/>
        <xdr:cNvSpPr>
          <a:spLocks noChangeShapeType="1"/>
        </xdr:cNvSpPr>
      </xdr:nvSpPr>
      <xdr:spPr bwMode="auto">
        <a:xfrm>
          <a:off x="3209925" y="20412075"/>
          <a:ext cx="4286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4</xdr:col>
      <xdr:colOff>581025</xdr:colOff>
      <xdr:row>119</xdr:row>
      <xdr:rowOff>142875</xdr:rowOff>
    </xdr:from>
    <xdr:ext cx="171450" cy="180975"/>
    <xdr:sp macro="" textlink="">
      <xdr:nvSpPr>
        <xdr:cNvPr id="29738" name="Text Box 42"/>
        <xdr:cNvSpPr txBox="1">
          <a:spLocks noChangeArrowheads="1"/>
        </xdr:cNvSpPr>
      </xdr:nvSpPr>
      <xdr:spPr bwMode="auto">
        <a:xfrm>
          <a:off x="3324225" y="20469225"/>
          <a:ext cx="1714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1" i="0" u="none" strike="noStrike" baseline="0">
              <a:solidFill>
                <a:srgbClr val="FF0000"/>
              </a:solidFill>
              <a:latin typeface="Arial"/>
              <a:cs typeface="Arial"/>
            </a:rPr>
            <a:t>W</a:t>
          </a:r>
        </a:p>
      </xdr:txBody>
    </xdr:sp>
    <xdr:clientData/>
  </xdr:oneCellAnchor>
  <xdr:twoCellAnchor>
    <xdr:from>
      <xdr:col>4</xdr:col>
      <xdr:colOff>647700</xdr:colOff>
      <xdr:row>118</xdr:row>
      <xdr:rowOff>76200</xdr:rowOff>
    </xdr:from>
    <xdr:to>
      <xdr:col>4</xdr:col>
      <xdr:colOff>647700</xdr:colOff>
      <xdr:row>119</xdr:row>
      <xdr:rowOff>76200</xdr:rowOff>
    </xdr:to>
    <xdr:sp macro="" textlink="">
      <xdr:nvSpPr>
        <xdr:cNvPr id="29739" name="Line 43"/>
        <xdr:cNvSpPr>
          <a:spLocks noChangeShapeType="1"/>
        </xdr:cNvSpPr>
      </xdr:nvSpPr>
      <xdr:spPr bwMode="auto">
        <a:xfrm flipV="1">
          <a:off x="3390900" y="202406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647700</xdr:colOff>
      <xdr:row>121</xdr:row>
      <xdr:rowOff>57150</xdr:rowOff>
    </xdr:from>
    <xdr:to>
      <xdr:col>4</xdr:col>
      <xdr:colOff>647700</xdr:colOff>
      <xdr:row>122</xdr:row>
      <xdr:rowOff>57150</xdr:rowOff>
    </xdr:to>
    <xdr:sp macro="" textlink="">
      <xdr:nvSpPr>
        <xdr:cNvPr id="29740" name="Line 44"/>
        <xdr:cNvSpPr>
          <a:spLocks noChangeShapeType="1"/>
        </xdr:cNvSpPr>
      </xdr:nvSpPr>
      <xdr:spPr bwMode="auto">
        <a:xfrm flipV="1">
          <a:off x="3390900" y="20707350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962025</xdr:colOff>
      <xdr:row>121</xdr:row>
      <xdr:rowOff>104775</xdr:rowOff>
    </xdr:from>
    <xdr:to>
      <xdr:col>4</xdr:col>
      <xdr:colOff>962025</xdr:colOff>
      <xdr:row>123</xdr:row>
      <xdr:rowOff>66675</xdr:rowOff>
    </xdr:to>
    <xdr:sp macro="" textlink="">
      <xdr:nvSpPr>
        <xdr:cNvPr id="29741" name="Line 45"/>
        <xdr:cNvSpPr>
          <a:spLocks noChangeShapeType="1"/>
        </xdr:cNvSpPr>
      </xdr:nvSpPr>
      <xdr:spPr bwMode="auto">
        <a:xfrm>
          <a:off x="3705225" y="20754975"/>
          <a:ext cx="0" cy="2857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121</xdr:row>
      <xdr:rowOff>95250</xdr:rowOff>
    </xdr:from>
    <xdr:to>
      <xdr:col>7</xdr:col>
      <xdr:colOff>0</xdr:colOff>
      <xdr:row>123</xdr:row>
      <xdr:rowOff>76200</xdr:rowOff>
    </xdr:to>
    <xdr:sp macro="" textlink="">
      <xdr:nvSpPr>
        <xdr:cNvPr id="29742" name="Line 46"/>
        <xdr:cNvSpPr>
          <a:spLocks noChangeShapeType="1"/>
        </xdr:cNvSpPr>
      </xdr:nvSpPr>
      <xdr:spPr bwMode="auto">
        <a:xfrm>
          <a:off x="3838575" y="20745450"/>
          <a:ext cx="0" cy="3048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771525</xdr:colOff>
      <xdr:row>123</xdr:row>
      <xdr:rowOff>47625</xdr:rowOff>
    </xdr:from>
    <xdr:to>
      <xdr:col>4</xdr:col>
      <xdr:colOff>952500</xdr:colOff>
      <xdr:row>123</xdr:row>
      <xdr:rowOff>47625</xdr:rowOff>
    </xdr:to>
    <xdr:sp macro="" textlink="">
      <xdr:nvSpPr>
        <xdr:cNvPr id="29743" name="Line 47"/>
        <xdr:cNvSpPr>
          <a:spLocks noChangeShapeType="1"/>
        </xdr:cNvSpPr>
      </xdr:nvSpPr>
      <xdr:spPr bwMode="auto">
        <a:xfrm flipH="1">
          <a:off x="3514725" y="21021675"/>
          <a:ext cx="1809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9525</xdr:colOff>
      <xdr:row>123</xdr:row>
      <xdr:rowOff>38100</xdr:rowOff>
    </xdr:from>
    <xdr:to>
      <xdr:col>7</xdr:col>
      <xdr:colOff>190500</xdr:colOff>
      <xdr:row>123</xdr:row>
      <xdr:rowOff>38100</xdr:rowOff>
    </xdr:to>
    <xdr:sp macro="" textlink="">
      <xdr:nvSpPr>
        <xdr:cNvPr id="29744" name="Line 48"/>
        <xdr:cNvSpPr>
          <a:spLocks noChangeShapeType="1"/>
        </xdr:cNvSpPr>
      </xdr:nvSpPr>
      <xdr:spPr bwMode="auto">
        <a:xfrm flipH="1">
          <a:off x="3848100" y="21012150"/>
          <a:ext cx="1809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4</xdr:col>
      <xdr:colOff>962025</xdr:colOff>
      <xdr:row>122</xdr:row>
      <xdr:rowOff>104775</xdr:rowOff>
    </xdr:from>
    <xdr:ext cx="142875" cy="180975"/>
    <xdr:sp macro="" textlink="">
      <xdr:nvSpPr>
        <xdr:cNvPr id="29745" name="Text Box 49"/>
        <xdr:cNvSpPr txBox="1">
          <a:spLocks noChangeArrowheads="1"/>
        </xdr:cNvSpPr>
      </xdr:nvSpPr>
      <xdr:spPr bwMode="auto">
        <a:xfrm>
          <a:off x="3705225" y="20916900"/>
          <a:ext cx="1428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1" i="0" u="none" strike="noStrike" baseline="0">
              <a:solidFill>
                <a:srgbClr val="FF0000"/>
              </a:solidFill>
              <a:latin typeface="Arial"/>
              <a:cs typeface="Arial"/>
            </a:rPr>
            <a:t>H</a:t>
          </a:r>
        </a:p>
      </xdr:txBody>
    </xdr:sp>
    <xdr:clientData/>
  </xdr:oneCellAnchor>
  <xdr:twoCellAnchor>
    <xdr:from>
      <xdr:col>11</xdr:col>
      <xdr:colOff>28575</xdr:colOff>
      <xdr:row>192</xdr:row>
      <xdr:rowOff>9525</xdr:rowOff>
    </xdr:from>
    <xdr:to>
      <xdr:col>14</xdr:col>
      <xdr:colOff>590550</xdr:colOff>
      <xdr:row>197</xdr:row>
      <xdr:rowOff>0</xdr:rowOff>
    </xdr:to>
    <xdr:sp macro="" textlink="">
      <xdr:nvSpPr>
        <xdr:cNvPr id="29746" name="Line 50"/>
        <xdr:cNvSpPr>
          <a:spLocks noChangeShapeType="1"/>
        </xdr:cNvSpPr>
      </xdr:nvSpPr>
      <xdr:spPr bwMode="auto">
        <a:xfrm flipV="1">
          <a:off x="7334250" y="32727900"/>
          <a:ext cx="1476375" cy="8191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9525</xdr:colOff>
      <xdr:row>192</xdr:row>
      <xdr:rowOff>0</xdr:rowOff>
    </xdr:from>
    <xdr:to>
      <xdr:col>14</xdr:col>
      <xdr:colOff>590550</xdr:colOff>
      <xdr:row>197</xdr:row>
      <xdr:rowOff>0</xdr:rowOff>
    </xdr:to>
    <xdr:sp macro="" textlink="">
      <xdr:nvSpPr>
        <xdr:cNvPr id="29747" name="Line 51"/>
        <xdr:cNvSpPr>
          <a:spLocks noChangeShapeType="1"/>
        </xdr:cNvSpPr>
      </xdr:nvSpPr>
      <xdr:spPr bwMode="auto">
        <a:xfrm>
          <a:off x="7315200" y="32718375"/>
          <a:ext cx="1495425" cy="8286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7</xdr:col>
      <xdr:colOff>66675</xdr:colOff>
      <xdr:row>7</xdr:row>
      <xdr:rowOff>95250</xdr:rowOff>
    </xdr:from>
    <xdr:ext cx="495300" cy="1009650"/>
    <xdr:sp macro="" textlink="">
      <xdr:nvSpPr>
        <xdr:cNvPr id="29748" name="Text Box 52"/>
        <xdr:cNvSpPr txBox="1">
          <a:spLocks noChangeArrowheads="1"/>
        </xdr:cNvSpPr>
      </xdr:nvSpPr>
      <xdr:spPr bwMode="auto">
        <a:xfrm>
          <a:off x="3905250" y="1333500"/>
          <a:ext cx="49530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18288" bIns="0" anchor="t" upright="1">
          <a:spAutoFit/>
        </a:bodyPr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Adjust</a:t>
          </a:r>
        </a:p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Bolt</a:t>
          </a:r>
        </a:p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Length</a:t>
          </a:r>
        </a:p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to the</a:t>
          </a:r>
        </a:p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Next</a:t>
          </a:r>
        </a:p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1/4"</a:t>
          </a:r>
        </a:p>
      </xdr:txBody>
    </xdr:sp>
    <xdr:clientData/>
  </xdr:oneCellAnchor>
  <xdr:oneCellAnchor>
    <xdr:from>
      <xdr:col>14</xdr:col>
      <xdr:colOff>95250</xdr:colOff>
      <xdr:row>7</xdr:row>
      <xdr:rowOff>0</xdr:rowOff>
    </xdr:from>
    <xdr:ext cx="495300" cy="1009650"/>
    <xdr:sp macro="" textlink="">
      <xdr:nvSpPr>
        <xdr:cNvPr id="29749" name="Text Box 53"/>
        <xdr:cNvSpPr txBox="1">
          <a:spLocks noChangeArrowheads="1"/>
        </xdr:cNvSpPr>
      </xdr:nvSpPr>
      <xdr:spPr bwMode="auto">
        <a:xfrm>
          <a:off x="8315325" y="1238250"/>
          <a:ext cx="49530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18288" bIns="0" anchor="t" upright="1">
          <a:spAutoFit/>
        </a:bodyPr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Adjust</a:t>
          </a:r>
        </a:p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Bolt</a:t>
          </a:r>
        </a:p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Length</a:t>
          </a:r>
        </a:p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to the</a:t>
          </a:r>
        </a:p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Next</a:t>
          </a:r>
        </a:p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6mm</a:t>
          </a:r>
        </a:p>
      </xdr:txBody>
    </xdr:sp>
    <xdr:clientData/>
  </xdr:oneCellAnchor>
  <xdr:twoCellAnchor>
    <xdr:from>
      <xdr:col>9</xdr:col>
      <xdr:colOff>638175</xdr:colOff>
      <xdr:row>79</xdr:row>
      <xdr:rowOff>38100</xdr:rowOff>
    </xdr:from>
    <xdr:to>
      <xdr:col>9</xdr:col>
      <xdr:colOff>771525</xdr:colOff>
      <xdr:row>79</xdr:row>
      <xdr:rowOff>171450</xdr:rowOff>
    </xdr:to>
    <xdr:sp macro="" textlink="">
      <xdr:nvSpPr>
        <xdr:cNvPr id="29750" name="AutoShape 54"/>
        <xdr:cNvSpPr>
          <a:spLocks noChangeArrowheads="1"/>
        </xdr:cNvSpPr>
      </xdr:nvSpPr>
      <xdr:spPr bwMode="auto">
        <a:xfrm>
          <a:off x="6143625" y="13620750"/>
          <a:ext cx="133350" cy="133350"/>
        </a:xfrm>
        <a:prstGeom prst="star5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905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657225</xdr:colOff>
      <xdr:row>80</xdr:row>
      <xdr:rowOff>38100</xdr:rowOff>
    </xdr:from>
    <xdr:to>
      <xdr:col>9</xdr:col>
      <xdr:colOff>790575</xdr:colOff>
      <xdr:row>80</xdr:row>
      <xdr:rowOff>171450</xdr:rowOff>
    </xdr:to>
    <xdr:sp macro="" textlink="">
      <xdr:nvSpPr>
        <xdr:cNvPr id="29751" name="AutoShape 55"/>
        <xdr:cNvSpPr>
          <a:spLocks noChangeArrowheads="1"/>
        </xdr:cNvSpPr>
      </xdr:nvSpPr>
      <xdr:spPr bwMode="auto">
        <a:xfrm>
          <a:off x="6162675" y="13820775"/>
          <a:ext cx="133350" cy="133350"/>
        </a:xfrm>
        <a:prstGeom prst="star5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905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28575</xdr:colOff>
      <xdr:row>84</xdr:row>
      <xdr:rowOff>28575</xdr:rowOff>
    </xdr:from>
    <xdr:to>
      <xdr:col>8</xdr:col>
      <xdr:colOff>161925</xdr:colOff>
      <xdr:row>85</xdr:row>
      <xdr:rowOff>0</xdr:rowOff>
    </xdr:to>
    <xdr:sp macro="" textlink="">
      <xdr:nvSpPr>
        <xdr:cNvPr id="29752" name="AutoShape 56"/>
        <xdr:cNvSpPr>
          <a:spLocks noChangeArrowheads="1"/>
        </xdr:cNvSpPr>
      </xdr:nvSpPr>
      <xdr:spPr bwMode="auto">
        <a:xfrm>
          <a:off x="4714875" y="14497050"/>
          <a:ext cx="133350" cy="133350"/>
        </a:xfrm>
        <a:prstGeom prst="star5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905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miter lim="800000"/>
          <a:headEnd/>
          <a:tailEnd/>
        </a:ln>
      </xdr:spPr>
    </xdr:sp>
    <xdr:clientData/>
  </xdr:twoCellAnchor>
  <xdr:oneCellAnchor>
    <xdr:from>
      <xdr:col>10</xdr:col>
      <xdr:colOff>142875</xdr:colOff>
      <xdr:row>29</xdr:row>
      <xdr:rowOff>19050</xdr:rowOff>
    </xdr:from>
    <xdr:ext cx="495300" cy="1333500"/>
    <xdr:sp macro="" textlink="">
      <xdr:nvSpPr>
        <xdr:cNvPr id="29753" name="Text Box 57"/>
        <xdr:cNvSpPr txBox="1">
          <a:spLocks noChangeArrowheads="1"/>
        </xdr:cNvSpPr>
      </xdr:nvSpPr>
      <xdr:spPr bwMode="auto">
        <a:xfrm>
          <a:off x="6524625" y="5019675"/>
          <a:ext cx="49530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18288" bIns="0" anchor="t" upright="1">
          <a:spAutoFit/>
        </a:bodyPr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Adjust</a:t>
          </a:r>
        </a:p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Bolt</a:t>
          </a:r>
        </a:p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Length</a:t>
          </a:r>
        </a:p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to the</a:t>
          </a:r>
        </a:p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Next</a:t>
          </a:r>
        </a:p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1/4"</a:t>
          </a:r>
        </a:p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or</a:t>
          </a:r>
        </a:p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6mm</a:t>
          </a:r>
        </a:p>
      </xdr:txBody>
    </xdr:sp>
    <xdr:clientData/>
  </xdr:oneCellAnchor>
  <xdr:twoCellAnchor>
    <xdr:from>
      <xdr:col>2</xdr:col>
      <xdr:colOff>647700</xdr:colOff>
      <xdr:row>91</xdr:row>
      <xdr:rowOff>57150</xdr:rowOff>
    </xdr:from>
    <xdr:to>
      <xdr:col>3</xdr:col>
      <xdr:colOff>504825</xdr:colOff>
      <xdr:row>95</xdr:row>
      <xdr:rowOff>9525</xdr:rowOff>
    </xdr:to>
    <xdr:sp macro="" textlink="">
      <xdr:nvSpPr>
        <xdr:cNvPr id="29754" name="AutoShape 58"/>
        <xdr:cNvSpPr>
          <a:spLocks noChangeArrowheads="1"/>
        </xdr:cNvSpPr>
      </xdr:nvSpPr>
      <xdr:spPr bwMode="auto">
        <a:xfrm>
          <a:off x="1447800" y="15678150"/>
          <a:ext cx="714375" cy="600075"/>
        </a:xfrm>
        <a:prstGeom prst="hexagon">
          <a:avLst>
            <a:gd name="adj" fmla="val 29762"/>
            <a:gd name="vf" fmla="val 11547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847725</xdr:colOff>
      <xdr:row>92</xdr:row>
      <xdr:rowOff>47625</xdr:rowOff>
    </xdr:from>
    <xdr:to>
      <xdr:col>3</xdr:col>
      <xdr:colOff>304800</xdr:colOff>
      <xdr:row>94</xdr:row>
      <xdr:rowOff>47625</xdr:rowOff>
    </xdr:to>
    <xdr:sp macro="" textlink="">
      <xdr:nvSpPr>
        <xdr:cNvPr id="29755" name="Oval 59"/>
        <xdr:cNvSpPr>
          <a:spLocks noChangeArrowheads="1"/>
        </xdr:cNvSpPr>
      </xdr:nvSpPr>
      <xdr:spPr bwMode="auto">
        <a:xfrm>
          <a:off x="1647825" y="15830550"/>
          <a:ext cx="314325" cy="32385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905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</xdr:spPr>
    </xdr:sp>
    <xdr:clientData/>
  </xdr:twoCellAnchor>
  <xdr:twoCellAnchor>
    <xdr:from>
      <xdr:col>4</xdr:col>
      <xdr:colOff>114300</xdr:colOff>
      <xdr:row>91</xdr:row>
      <xdr:rowOff>57150</xdr:rowOff>
    </xdr:from>
    <xdr:to>
      <xdr:col>4</xdr:col>
      <xdr:colOff>828675</xdr:colOff>
      <xdr:row>95</xdr:row>
      <xdr:rowOff>9525</xdr:rowOff>
    </xdr:to>
    <xdr:sp macro="" textlink="">
      <xdr:nvSpPr>
        <xdr:cNvPr id="29756" name="AutoShape 60"/>
        <xdr:cNvSpPr>
          <a:spLocks noChangeArrowheads="1"/>
        </xdr:cNvSpPr>
      </xdr:nvSpPr>
      <xdr:spPr bwMode="auto">
        <a:xfrm>
          <a:off x="2857500" y="15678150"/>
          <a:ext cx="714375" cy="600075"/>
        </a:xfrm>
        <a:prstGeom prst="hexagon">
          <a:avLst>
            <a:gd name="adj" fmla="val 29762"/>
            <a:gd name="vf" fmla="val 11547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314325</xdr:colOff>
      <xdr:row>92</xdr:row>
      <xdr:rowOff>47625</xdr:rowOff>
    </xdr:from>
    <xdr:to>
      <xdr:col>4</xdr:col>
      <xdr:colOff>628650</xdr:colOff>
      <xdr:row>94</xdr:row>
      <xdr:rowOff>47625</xdr:rowOff>
    </xdr:to>
    <xdr:sp macro="" textlink="">
      <xdr:nvSpPr>
        <xdr:cNvPr id="29757" name="Oval 61"/>
        <xdr:cNvSpPr>
          <a:spLocks noChangeArrowheads="1"/>
        </xdr:cNvSpPr>
      </xdr:nvSpPr>
      <xdr:spPr bwMode="auto">
        <a:xfrm>
          <a:off x="3057525" y="15830550"/>
          <a:ext cx="314325" cy="32385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905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</xdr:spPr>
    </xdr:sp>
    <xdr:clientData/>
  </xdr:twoCellAnchor>
  <xdr:twoCellAnchor>
    <xdr:from>
      <xdr:col>2</xdr:col>
      <xdr:colOff>371475</xdr:colOff>
      <xdr:row>93</xdr:row>
      <xdr:rowOff>38100</xdr:rowOff>
    </xdr:from>
    <xdr:to>
      <xdr:col>4</xdr:col>
      <xdr:colOff>1057275</xdr:colOff>
      <xdr:row>93</xdr:row>
      <xdr:rowOff>38100</xdr:rowOff>
    </xdr:to>
    <xdr:sp macro="" textlink="">
      <xdr:nvSpPr>
        <xdr:cNvPr id="29758" name="Line 62"/>
        <xdr:cNvSpPr>
          <a:spLocks noChangeShapeType="1"/>
        </xdr:cNvSpPr>
      </xdr:nvSpPr>
      <xdr:spPr bwMode="auto">
        <a:xfrm>
          <a:off x="1171575" y="15982950"/>
          <a:ext cx="26289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lgDash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142875</xdr:colOff>
      <xdr:row>90</xdr:row>
      <xdr:rowOff>114300</xdr:rowOff>
    </xdr:from>
    <xdr:to>
      <xdr:col>3</xdr:col>
      <xdr:colOff>142875</xdr:colOff>
      <xdr:row>99</xdr:row>
      <xdr:rowOff>104775</xdr:rowOff>
    </xdr:to>
    <xdr:sp macro="" textlink="">
      <xdr:nvSpPr>
        <xdr:cNvPr id="29759" name="Line 63"/>
        <xdr:cNvSpPr>
          <a:spLocks noChangeShapeType="1"/>
        </xdr:cNvSpPr>
      </xdr:nvSpPr>
      <xdr:spPr bwMode="auto">
        <a:xfrm>
          <a:off x="1800225" y="15573375"/>
          <a:ext cx="0" cy="144780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lgDash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466725</xdr:colOff>
      <xdr:row>91</xdr:row>
      <xdr:rowOff>19050</xdr:rowOff>
    </xdr:from>
    <xdr:to>
      <xdr:col>4</xdr:col>
      <xdr:colOff>466725</xdr:colOff>
      <xdr:row>100</xdr:row>
      <xdr:rowOff>0</xdr:rowOff>
    </xdr:to>
    <xdr:sp macro="" textlink="">
      <xdr:nvSpPr>
        <xdr:cNvPr id="29760" name="Line 64"/>
        <xdr:cNvSpPr>
          <a:spLocks noChangeShapeType="1"/>
        </xdr:cNvSpPr>
      </xdr:nvSpPr>
      <xdr:spPr bwMode="auto">
        <a:xfrm>
          <a:off x="3209925" y="15640050"/>
          <a:ext cx="0" cy="143827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lgDash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781050</xdr:colOff>
      <xdr:row>89</xdr:row>
      <xdr:rowOff>0</xdr:rowOff>
    </xdr:from>
    <xdr:to>
      <xdr:col>3</xdr:col>
      <xdr:colOff>781050</xdr:colOff>
      <xdr:row>93</xdr:row>
      <xdr:rowOff>38100</xdr:rowOff>
    </xdr:to>
    <xdr:sp macro="" textlink="">
      <xdr:nvSpPr>
        <xdr:cNvPr id="29761" name="Line 65"/>
        <xdr:cNvSpPr>
          <a:spLocks noChangeShapeType="1"/>
        </xdr:cNvSpPr>
      </xdr:nvSpPr>
      <xdr:spPr bwMode="auto">
        <a:xfrm flipV="1">
          <a:off x="2438400" y="15287625"/>
          <a:ext cx="0" cy="6953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142875</xdr:colOff>
      <xdr:row>99</xdr:row>
      <xdr:rowOff>0</xdr:rowOff>
    </xdr:from>
    <xdr:to>
      <xdr:col>4</xdr:col>
      <xdr:colOff>466725</xdr:colOff>
      <xdr:row>99</xdr:row>
      <xdr:rowOff>0</xdr:rowOff>
    </xdr:to>
    <xdr:sp macro="" textlink="">
      <xdr:nvSpPr>
        <xdr:cNvPr id="29762" name="Line 66"/>
        <xdr:cNvSpPr>
          <a:spLocks noChangeShapeType="1"/>
        </xdr:cNvSpPr>
      </xdr:nvSpPr>
      <xdr:spPr bwMode="auto">
        <a:xfrm>
          <a:off x="1800225" y="16916400"/>
          <a:ext cx="140970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466725</xdr:colOff>
      <xdr:row>99</xdr:row>
      <xdr:rowOff>0</xdr:rowOff>
    </xdr:from>
    <xdr:to>
      <xdr:col>4</xdr:col>
      <xdr:colOff>1085850</xdr:colOff>
      <xdr:row>99</xdr:row>
      <xdr:rowOff>0</xdr:rowOff>
    </xdr:to>
    <xdr:sp macro="" textlink="">
      <xdr:nvSpPr>
        <xdr:cNvPr id="29763" name="Line 67"/>
        <xdr:cNvSpPr>
          <a:spLocks noChangeShapeType="1"/>
        </xdr:cNvSpPr>
      </xdr:nvSpPr>
      <xdr:spPr bwMode="auto">
        <a:xfrm>
          <a:off x="3209925" y="16916400"/>
          <a:ext cx="61912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19050</xdr:colOff>
      <xdr:row>87</xdr:row>
      <xdr:rowOff>152400</xdr:rowOff>
    </xdr:from>
    <xdr:to>
      <xdr:col>7</xdr:col>
      <xdr:colOff>257175</xdr:colOff>
      <xdr:row>87</xdr:row>
      <xdr:rowOff>152400</xdr:rowOff>
    </xdr:to>
    <xdr:sp macro="" textlink="">
      <xdr:nvSpPr>
        <xdr:cNvPr id="29764" name="Line 68"/>
        <xdr:cNvSpPr>
          <a:spLocks noChangeShapeType="1"/>
        </xdr:cNvSpPr>
      </xdr:nvSpPr>
      <xdr:spPr bwMode="auto">
        <a:xfrm>
          <a:off x="819150" y="15106650"/>
          <a:ext cx="3276600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238125</xdr:colOff>
      <xdr:row>88</xdr:row>
      <xdr:rowOff>0</xdr:rowOff>
    </xdr:from>
    <xdr:to>
      <xdr:col>7</xdr:col>
      <xdr:colOff>238125</xdr:colOff>
      <xdr:row>100</xdr:row>
      <xdr:rowOff>0</xdr:rowOff>
    </xdr:to>
    <xdr:sp macro="" textlink="">
      <xdr:nvSpPr>
        <xdr:cNvPr id="29765" name="Line 69"/>
        <xdr:cNvSpPr>
          <a:spLocks noChangeShapeType="1"/>
        </xdr:cNvSpPr>
      </xdr:nvSpPr>
      <xdr:spPr bwMode="auto">
        <a:xfrm>
          <a:off x="4076700" y="15116175"/>
          <a:ext cx="0" cy="196215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</xdr:col>
      <xdr:colOff>514350</xdr:colOff>
      <xdr:row>90</xdr:row>
      <xdr:rowOff>19050</xdr:rowOff>
    </xdr:from>
    <xdr:to>
      <xdr:col>3</xdr:col>
      <xdr:colOff>723900</xdr:colOff>
      <xdr:row>91</xdr:row>
      <xdr:rowOff>142875</xdr:rowOff>
    </xdr:to>
    <xdr:sp macro="" textlink="">
      <xdr:nvSpPr>
        <xdr:cNvPr id="29766" name="Text Box 70"/>
        <xdr:cNvSpPr txBox="1">
          <a:spLocks noChangeArrowheads="1"/>
        </xdr:cNvSpPr>
      </xdr:nvSpPr>
      <xdr:spPr bwMode="auto">
        <a:xfrm>
          <a:off x="2171700" y="15478125"/>
          <a:ext cx="2095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1" i="0" u="none" strike="noStrike" baseline="0">
              <a:solidFill>
                <a:srgbClr val="FF0000"/>
              </a:solidFill>
              <a:latin typeface="Arial"/>
              <a:cs typeface="Arial"/>
            </a:rPr>
            <a:t>c</a:t>
          </a:r>
        </a:p>
      </xdr:txBody>
    </xdr:sp>
    <xdr:clientData/>
  </xdr:twoCellAnchor>
  <xdr:twoCellAnchor editAs="oneCell">
    <xdr:from>
      <xdr:col>4</xdr:col>
      <xdr:colOff>657225</xdr:colOff>
      <xdr:row>97</xdr:row>
      <xdr:rowOff>19050</xdr:rowOff>
    </xdr:from>
    <xdr:to>
      <xdr:col>4</xdr:col>
      <xdr:colOff>866775</xdr:colOff>
      <xdr:row>98</xdr:row>
      <xdr:rowOff>142875</xdr:rowOff>
    </xdr:to>
    <xdr:sp macro="" textlink="">
      <xdr:nvSpPr>
        <xdr:cNvPr id="29767" name="Text Box 71"/>
        <xdr:cNvSpPr txBox="1">
          <a:spLocks noChangeArrowheads="1"/>
        </xdr:cNvSpPr>
      </xdr:nvSpPr>
      <xdr:spPr bwMode="auto">
        <a:xfrm>
          <a:off x="3400425" y="16611600"/>
          <a:ext cx="2095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1" i="0" u="none" strike="noStrike" baseline="0">
              <a:solidFill>
                <a:srgbClr val="FF0000"/>
              </a:solidFill>
              <a:latin typeface="Arial"/>
              <a:cs typeface="Arial"/>
            </a:rPr>
            <a:t>B</a:t>
          </a:r>
        </a:p>
      </xdr:txBody>
    </xdr:sp>
    <xdr:clientData/>
  </xdr:twoCellAnchor>
  <xdr:twoCellAnchor editAs="oneCell">
    <xdr:from>
      <xdr:col>3</xdr:col>
      <xdr:colOff>723900</xdr:colOff>
      <xdr:row>97</xdr:row>
      <xdr:rowOff>66675</xdr:rowOff>
    </xdr:from>
    <xdr:to>
      <xdr:col>3</xdr:col>
      <xdr:colOff>933450</xdr:colOff>
      <xdr:row>99</xdr:row>
      <xdr:rowOff>28575</xdr:rowOff>
    </xdr:to>
    <xdr:sp macro="" textlink="">
      <xdr:nvSpPr>
        <xdr:cNvPr id="29768" name="Text Box 72"/>
        <xdr:cNvSpPr txBox="1">
          <a:spLocks noChangeArrowheads="1"/>
        </xdr:cNvSpPr>
      </xdr:nvSpPr>
      <xdr:spPr bwMode="auto">
        <a:xfrm>
          <a:off x="2381250" y="16659225"/>
          <a:ext cx="2095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1" i="0" u="none" strike="noStrike" baseline="0">
              <a:solidFill>
                <a:srgbClr val="FF0000"/>
              </a:solidFill>
              <a:latin typeface="Arial"/>
              <a:cs typeface="Arial"/>
            </a:rPr>
            <a:t>A</a:t>
          </a:r>
        </a:p>
      </xdr:txBody>
    </xdr:sp>
    <xdr:clientData/>
  </xdr:twoCellAnchor>
  <xdr:twoCellAnchor>
    <xdr:from>
      <xdr:col>4</xdr:col>
      <xdr:colOff>1085850</xdr:colOff>
      <xdr:row>88</xdr:row>
      <xdr:rowOff>161925</xdr:rowOff>
    </xdr:from>
    <xdr:to>
      <xdr:col>7</xdr:col>
      <xdr:colOff>247650</xdr:colOff>
      <xdr:row>100</xdr:row>
      <xdr:rowOff>0</xdr:rowOff>
    </xdr:to>
    <xdr:sp macro="" textlink="">
      <xdr:nvSpPr>
        <xdr:cNvPr id="29769" name="Rectangle 73"/>
        <xdr:cNvSpPr>
          <a:spLocks noChangeArrowheads="1"/>
        </xdr:cNvSpPr>
      </xdr:nvSpPr>
      <xdr:spPr bwMode="auto">
        <a:xfrm>
          <a:off x="3829050" y="15278100"/>
          <a:ext cx="257175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9525</xdr:colOff>
      <xdr:row>87</xdr:row>
      <xdr:rowOff>152400</xdr:rowOff>
    </xdr:from>
    <xdr:to>
      <xdr:col>7</xdr:col>
      <xdr:colOff>219075</xdr:colOff>
      <xdr:row>89</xdr:row>
      <xdr:rowOff>0</xdr:rowOff>
    </xdr:to>
    <xdr:sp macro="" textlink="">
      <xdr:nvSpPr>
        <xdr:cNvPr id="29770" name="Rectangle 74"/>
        <xdr:cNvSpPr>
          <a:spLocks noChangeArrowheads="1"/>
        </xdr:cNvSpPr>
      </xdr:nvSpPr>
      <xdr:spPr bwMode="auto">
        <a:xfrm>
          <a:off x="809625" y="15106650"/>
          <a:ext cx="3248025" cy="1809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2</xdr:col>
      <xdr:colOff>704850</xdr:colOff>
      <xdr:row>103</xdr:row>
      <xdr:rowOff>161925</xdr:rowOff>
    </xdr:from>
    <xdr:ext cx="1200150" cy="238125"/>
    <xdr:sp macro="" textlink="">
      <xdr:nvSpPr>
        <xdr:cNvPr id="29771" name="Text Box 75"/>
        <xdr:cNvSpPr txBox="1">
          <a:spLocks noChangeArrowheads="1"/>
        </xdr:cNvSpPr>
      </xdr:nvSpPr>
      <xdr:spPr bwMode="auto">
        <a:xfrm>
          <a:off x="1504950" y="17735550"/>
          <a:ext cx="12001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0000FF"/>
              </a:solidFill>
              <a:latin typeface="Arial"/>
              <a:cs typeface="Arial"/>
            </a:rPr>
            <a:t>Socket Wrench</a:t>
          </a:r>
        </a:p>
      </xdr:txBody>
    </xdr:sp>
    <xdr:clientData/>
  </xdr:oneCellAnchor>
  <xdr:oneCellAnchor>
    <xdr:from>
      <xdr:col>7</xdr:col>
      <xdr:colOff>628650</xdr:colOff>
      <xdr:row>104</xdr:row>
      <xdr:rowOff>0</xdr:rowOff>
    </xdr:from>
    <xdr:ext cx="1419225" cy="238125"/>
    <xdr:sp macro="" textlink="">
      <xdr:nvSpPr>
        <xdr:cNvPr id="29772" name="Text Box 76"/>
        <xdr:cNvSpPr txBox="1">
          <a:spLocks noChangeArrowheads="1"/>
        </xdr:cNvSpPr>
      </xdr:nvSpPr>
      <xdr:spPr bwMode="auto">
        <a:xfrm>
          <a:off x="4467225" y="17745075"/>
          <a:ext cx="14192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0000FF"/>
              </a:solidFill>
              <a:latin typeface="Arial"/>
              <a:cs typeface="Arial"/>
            </a:rPr>
            <a:t>Open End Wrench</a:t>
          </a:r>
        </a:p>
      </xdr:txBody>
    </xdr:sp>
    <xdr:clientData/>
  </xdr:oneCellAnchor>
  <xdr:oneCellAnchor>
    <xdr:from>
      <xdr:col>3</xdr:col>
      <xdr:colOff>57150</xdr:colOff>
      <xdr:row>100</xdr:row>
      <xdr:rowOff>104775</xdr:rowOff>
    </xdr:from>
    <xdr:ext cx="2847975" cy="333375"/>
    <xdr:sp macro="" textlink="">
      <xdr:nvSpPr>
        <xdr:cNvPr id="29773" name="Text Box 77"/>
        <xdr:cNvSpPr txBox="1">
          <a:spLocks noChangeArrowheads="1"/>
        </xdr:cNvSpPr>
      </xdr:nvSpPr>
      <xdr:spPr bwMode="auto">
        <a:xfrm>
          <a:off x="1714500" y="17183100"/>
          <a:ext cx="28479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36576" tIns="36576" rIns="0" bIns="0" anchor="t" upright="1">
          <a:spAutoFit/>
        </a:bodyPr>
        <a:lstStyle/>
        <a:p>
          <a:pPr algn="l" rtl="0">
            <a:defRPr sz="1000"/>
          </a:pPr>
          <a:r>
            <a:rPr lang="en-US" sz="1800" b="1" i="1" u="sng" strike="noStrike" baseline="0">
              <a:solidFill>
                <a:srgbClr val="0000FF"/>
              </a:solidFill>
              <a:latin typeface="Arial"/>
              <a:cs typeface="Arial"/>
            </a:rPr>
            <a:t>Wrench Clearance Guide</a:t>
          </a:r>
        </a:p>
      </xdr:txBody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1</xdr:row>
      <xdr:rowOff>19050</xdr:rowOff>
    </xdr:from>
    <xdr:to>
      <xdr:col>4</xdr:col>
      <xdr:colOff>19050</xdr:colOff>
      <xdr:row>4</xdr:row>
      <xdr:rowOff>123825</xdr:rowOff>
    </xdr:to>
    <xdr:sp macro="" textlink="">
      <xdr:nvSpPr>
        <xdr:cNvPr id="14351" name="Line 15"/>
        <xdr:cNvSpPr>
          <a:spLocks noChangeShapeType="1"/>
        </xdr:cNvSpPr>
      </xdr:nvSpPr>
      <xdr:spPr bwMode="auto">
        <a:xfrm flipH="1" flipV="1">
          <a:off x="2476500" y="314325"/>
          <a:ext cx="9525" cy="72390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0</xdr:row>
      <xdr:rowOff>285750</xdr:rowOff>
    </xdr:from>
    <xdr:to>
      <xdr:col>6</xdr:col>
      <xdr:colOff>9525</xdr:colOff>
      <xdr:row>4</xdr:row>
      <xdr:rowOff>104775</xdr:rowOff>
    </xdr:to>
    <xdr:sp macro="" textlink="">
      <xdr:nvSpPr>
        <xdr:cNvPr id="14352" name="Line 16"/>
        <xdr:cNvSpPr>
          <a:spLocks noChangeShapeType="1"/>
        </xdr:cNvSpPr>
      </xdr:nvSpPr>
      <xdr:spPr bwMode="auto">
        <a:xfrm flipH="1" flipV="1">
          <a:off x="4019550" y="285750"/>
          <a:ext cx="0" cy="7334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19050</xdr:colOff>
      <xdr:row>1</xdr:row>
      <xdr:rowOff>104775</xdr:rowOff>
    </xdr:from>
    <xdr:to>
      <xdr:col>6</xdr:col>
      <xdr:colOff>9525</xdr:colOff>
      <xdr:row>1</xdr:row>
      <xdr:rowOff>104775</xdr:rowOff>
    </xdr:to>
    <xdr:sp macro="" textlink="">
      <xdr:nvSpPr>
        <xdr:cNvPr id="14353" name="Line 17"/>
        <xdr:cNvSpPr>
          <a:spLocks noChangeShapeType="1"/>
        </xdr:cNvSpPr>
      </xdr:nvSpPr>
      <xdr:spPr bwMode="auto">
        <a:xfrm>
          <a:off x="2486025" y="400050"/>
          <a:ext cx="153352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419100</xdr:colOff>
      <xdr:row>5</xdr:row>
      <xdr:rowOff>0</xdr:rowOff>
    </xdr:from>
    <xdr:to>
      <xdr:col>3</xdr:col>
      <xdr:colOff>571500</xdr:colOff>
      <xdr:row>5</xdr:row>
      <xdr:rowOff>0</xdr:rowOff>
    </xdr:to>
    <xdr:sp macro="" textlink="">
      <xdr:nvSpPr>
        <xdr:cNvPr id="14359" name="Line 23"/>
        <xdr:cNvSpPr>
          <a:spLocks noChangeShapeType="1"/>
        </xdr:cNvSpPr>
      </xdr:nvSpPr>
      <xdr:spPr bwMode="auto">
        <a:xfrm flipH="1">
          <a:off x="1295400" y="1123950"/>
          <a:ext cx="8572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457200</xdr:colOff>
      <xdr:row>12</xdr:row>
      <xdr:rowOff>152400</xdr:rowOff>
    </xdr:from>
    <xdr:to>
      <xdr:col>3</xdr:col>
      <xdr:colOff>590550</xdr:colOff>
      <xdr:row>12</xdr:row>
      <xdr:rowOff>152400</xdr:rowOff>
    </xdr:to>
    <xdr:sp macro="" textlink="">
      <xdr:nvSpPr>
        <xdr:cNvPr id="14360" name="Line 24"/>
        <xdr:cNvSpPr>
          <a:spLocks noChangeShapeType="1"/>
        </xdr:cNvSpPr>
      </xdr:nvSpPr>
      <xdr:spPr bwMode="auto">
        <a:xfrm flipH="1">
          <a:off x="1333500" y="2781300"/>
          <a:ext cx="8382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571500</xdr:colOff>
      <xdr:row>5</xdr:row>
      <xdr:rowOff>0</xdr:rowOff>
    </xdr:from>
    <xdr:to>
      <xdr:col>2</xdr:col>
      <xdr:colOff>571500</xdr:colOff>
      <xdr:row>12</xdr:row>
      <xdr:rowOff>142875</xdr:rowOff>
    </xdr:to>
    <xdr:sp macro="" textlink="">
      <xdr:nvSpPr>
        <xdr:cNvPr id="14361" name="Line 25"/>
        <xdr:cNvSpPr>
          <a:spLocks noChangeShapeType="1"/>
        </xdr:cNvSpPr>
      </xdr:nvSpPr>
      <xdr:spPr bwMode="auto">
        <a:xfrm flipV="1">
          <a:off x="1447800" y="1123950"/>
          <a:ext cx="0" cy="16478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314325</xdr:colOff>
      <xdr:row>7</xdr:row>
      <xdr:rowOff>114300</xdr:rowOff>
    </xdr:from>
    <xdr:to>
      <xdr:col>4</xdr:col>
      <xdr:colOff>695325</xdr:colOff>
      <xdr:row>7</xdr:row>
      <xdr:rowOff>114300</xdr:rowOff>
    </xdr:to>
    <xdr:sp macro="" textlink="">
      <xdr:nvSpPr>
        <xdr:cNvPr id="14362" name="Line 26"/>
        <xdr:cNvSpPr>
          <a:spLocks noChangeShapeType="1"/>
        </xdr:cNvSpPr>
      </xdr:nvSpPr>
      <xdr:spPr bwMode="auto">
        <a:xfrm>
          <a:off x="2781300" y="1647825"/>
          <a:ext cx="3810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47625</xdr:colOff>
      <xdr:row>7</xdr:row>
      <xdr:rowOff>114300</xdr:rowOff>
    </xdr:from>
    <xdr:to>
      <xdr:col>5</xdr:col>
      <xdr:colOff>333375</xdr:colOff>
      <xdr:row>7</xdr:row>
      <xdr:rowOff>114300</xdr:rowOff>
    </xdr:to>
    <xdr:sp macro="" textlink="">
      <xdr:nvSpPr>
        <xdr:cNvPr id="14363" name="Line 27"/>
        <xdr:cNvSpPr>
          <a:spLocks noChangeShapeType="1"/>
        </xdr:cNvSpPr>
      </xdr:nvSpPr>
      <xdr:spPr bwMode="auto">
        <a:xfrm>
          <a:off x="3286125" y="1647825"/>
          <a:ext cx="2857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180975</xdr:colOff>
      <xdr:row>5</xdr:row>
      <xdr:rowOff>76200</xdr:rowOff>
    </xdr:from>
    <xdr:to>
      <xdr:col>3</xdr:col>
      <xdr:colOff>600075</xdr:colOff>
      <xdr:row>5</xdr:row>
      <xdr:rowOff>76200</xdr:rowOff>
    </xdr:to>
    <xdr:sp macro="" textlink="">
      <xdr:nvSpPr>
        <xdr:cNvPr id="14364" name="Line 28"/>
        <xdr:cNvSpPr>
          <a:spLocks noChangeShapeType="1"/>
        </xdr:cNvSpPr>
      </xdr:nvSpPr>
      <xdr:spPr bwMode="auto">
        <a:xfrm flipH="1">
          <a:off x="1762125" y="1200150"/>
          <a:ext cx="4191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238125</xdr:colOff>
      <xdr:row>5</xdr:row>
      <xdr:rowOff>66675</xdr:rowOff>
    </xdr:from>
    <xdr:to>
      <xdr:col>3</xdr:col>
      <xdr:colOff>238125</xdr:colOff>
      <xdr:row>6</xdr:row>
      <xdr:rowOff>133350</xdr:rowOff>
    </xdr:to>
    <xdr:sp macro="" textlink="">
      <xdr:nvSpPr>
        <xdr:cNvPr id="14365" name="Line 29"/>
        <xdr:cNvSpPr>
          <a:spLocks noChangeShapeType="1"/>
        </xdr:cNvSpPr>
      </xdr:nvSpPr>
      <xdr:spPr bwMode="auto">
        <a:xfrm>
          <a:off x="1819275" y="1190625"/>
          <a:ext cx="0" cy="26670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228600</xdr:colOff>
      <xdr:row>3</xdr:row>
      <xdr:rowOff>76200</xdr:rowOff>
    </xdr:from>
    <xdr:to>
      <xdr:col>3</xdr:col>
      <xdr:colOff>228600</xdr:colOff>
      <xdr:row>5</xdr:row>
      <xdr:rowOff>0</xdr:rowOff>
    </xdr:to>
    <xdr:sp macro="" textlink="">
      <xdr:nvSpPr>
        <xdr:cNvPr id="14366" name="Line 30"/>
        <xdr:cNvSpPr>
          <a:spLocks noChangeShapeType="1"/>
        </xdr:cNvSpPr>
      </xdr:nvSpPr>
      <xdr:spPr bwMode="auto">
        <a:xfrm flipV="1">
          <a:off x="1809750" y="781050"/>
          <a:ext cx="0" cy="34290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180975</xdr:colOff>
      <xdr:row>3</xdr:row>
      <xdr:rowOff>76200</xdr:rowOff>
    </xdr:from>
    <xdr:to>
      <xdr:col>3</xdr:col>
      <xdr:colOff>219075</xdr:colOff>
      <xdr:row>3</xdr:row>
      <xdr:rowOff>85725</xdr:rowOff>
    </xdr:to>
    <xdr:sp macro="" textlink="">
      <xdr:nvSpPr>
        <xdr:cNvPr id="14367" name="Line 31"/>
        <xdr:cNvSpPr>
          <a:spLocks noChangeShapeType="1"/>
        </xdr:cNvSpPr>
      </xdr:nvSpPr>
      <xdr:spPr bwMode="auto">
        <a:xfrm>
          <a:off x="1057275" y="781050"/>
          <a:ext cx="742950" cy="95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66675</xdr:colOff>
      <xdr:row>12</xdr:row>
      <xdr:rowOff>66675</xdr:rowOff>
    </xdr:from>
    <xdr:to>
      <xdr:col>9</xdr:col>
      <xdr:colOff>609600</xdr:colOff>
      <xdr:row>12</xdr:row>
      <xdr:rowOff>66675</xdr:rowOff>
    </xdr:to>
    <xdr:sp macro="" textlink="">
      <xdr:nvSpPr>
        <xdr:cNvPr id="14381" name="Line 45"/>
        <xdr:cNvSpPr>
          <a:spLocks noChangeShapeType="1"/>
        </xdr:cNvSpPr>
      </xdr:nvSpPr>
      <xdr:spPr bwMode="auto">
        <a:xfrm>
          <a:off x="4076700" y="2695575"/>
          <a:ext cx="32004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76200</xdr:colOff>
      <xdr:row>5</xdr:row>
      <xdr:rowOff>76200</xdr:rowOff>
    </xdr:from>
    <xdr:to>
      <xdr:col>9</xdr:col>
      <xdr:colOff>571500</xdr:colOff>
      <xdr:row>5</xdr:row>
      <xdr:rowOff>76200</xdr:rowOff>
    </xdr:to>
    <xdr:sp macro="" textlink="">
      <xdr:nvSpPr>
        <xdr:cNvPr id="14382" name="Line 46"/>
        <xdr:cNvSpPr>
          <a:spLocks noChangeShapeType="1"/>
        </xdr:cNvSpPr>
      </xdr:nvSpPr>
      <xdr:spPr bwMode="auto">
        <a:xfrm>
          <a:off x="4086225" y="1200150"/>
          <a:ext cx="31527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438150</xdr:colOff>
      <xdr:row>10</xdr:row>
      <xdr:rowOff>38100</xdr:rowOff>
    </xdr:from>
    <xdr:to>
      <xdr:col>8</xdr:col>
      <xdr:colOff>438150</xdr:colOff>
      <xdr:row>12</xdr:row>
      <xdr:rowOff>57150</xdr:rowOff>
    </xdr:to>
    <xdr:sp macro="" textlink="">
      <xdr:nvSpPr>
        <xdr:cNvPr id="14383" name="Line 47"/>
        <xdr:cNvSpPr>
          <a:spLocks noChangeShapeType="1"/>
        </xdr:cNvSpPr>
      </xdr:nvSpPr>
      <xdr:spPr bwMode="auto">
        <a:xfrm flipV="1">
          <a:off x="6210300" y="2276475"/>
          <a:ext cx="0" cy="40957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400050</xdr:colOff>
      <xdr:row>5</xdr:row>
      <xdr:rowOff>66675</xdr:rowOff>
    </xdr:from>
    <xdr:to>
      <xdr:col>8</xdr:col>
      <xdr:colOff>400050</xdr:colOff>
      <xdr:row>8</xdr:row>
      <xdr:rowOff>0</xdr:rowOff>
    </xdr:to>
    <xdr:sp macro="" textlink="">
      <xdr:nvSpPr>
        <xdr:cNvPr id="14385" name="Line 49"/>
        <xdr:cNvSpPr>
          <a:spLocks noChangeShapeType="1"/>
        </xdr:cNvSpPr>
      </xdr:nvSpPr>
      <xdr:spPr bwMode="auto">
        <a:xfrm flipV="1">
          <a:off x="6172200" y="1190625"/>
          <a:ext cx="0" cy="57150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10</xdr:row>
      <xdr:rowOff>9525</xdr:rowOff>
    </xdr:from>
    <xdr:to>
      <xdr:col>9</xdr:col>
      <xdr:colOff>390525</xdr:colOff>
      <xdr:row>12</xdr:row>
      <xdr:rowOff>57150</xdr:rowOff>
    </xdr:to>
    <xdr:sp macro="" textlink="">
      <xdr:nvSpPr>
        <xdr:cNvPr id="14386" name="Line 50"/>
        <xdr:cNvSpPr>
          <a:spLocks noChangeShapeType="1"/>
        </xdr:cNvSpPr>
      </xdr:nvSpPr>
      <xdr:spPr bwMode="auto">
        <a:xfrm flipV="1">
          <a:off x="7058025" y="2247900"/>
          <a:ext cx="0" cy="4381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342900</xdr:colOff>
      <xdr:row>5</xdr:row>
      <xdr:rowOff>85725</xdr:rowOff>
    </xdr:from>
    <xdr:to>
      <xdr:col>9</xdr:col>
      <xdr:colOff>342900</xdr:colOff>
      <xdr:row>7</xdr:row>
      <xdr:rowOff>123825</xdr:rowOff>
    </xdr:to>
    <xdr:sp macro="" textlink="">
      <xdr:nvSpPr>
        <xdr:cNvPr id="14387" name="Line 51"/>
        <xdr:cNvSpPr>
          <a:spLocks noChangeShapeType="1"/>
        </xdr:cNvSpPr>
      </xdr:nvSpPr>
      <xdr:spPr bwMode="auto">
        <a:xfrm>
          <a:off x="7010400" y="1209675"/>
          <a:ext cx="0" cy="44767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9525</xdr:colOff>
      <xdr:row>5</xdr:row>
      <xdr:rowOff>0</xdr:rowOff>
    </xdr:from>
    <xdr:to>
      <xdr:col>6</xdr:col>
      <xdr:colOff>9525</xdr:colOff>
      <xdr:row>5</xdr:row>
      <xdr:rowOff>76200</xdr:rowOff>
    </xdr:to>
    <xdr:sp macro="" textlink="">
      <xdr:nvSpPr>
        <xdr:cNvPr id="14388" name="Rectangle 52"/>
        <xdr:cNvSpPr>
          <a:spLocks noChangeArrowheads="1"/>
        </xdr:cNvSpPr>
      </xdr:nvSpPr>
      <xdr:spPr bwMode="auto">
        <a:xfrm>
          <a:off x="2476500" y="1123950"/>
          <a:ext cx="1543050" cy="762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3810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12</xdr:row>
      <xdr:rowOff>76200</xdr:rowOff>
    </xdr:from>
    <xdr:to>
      <xdr:col>6</xdr:col>
      <xdr:colOff>0</xdr:colOff>
      <xdr:row>13</xdr:row>
      <xdr:rowOff>0</xdr:rowOff>
    </xdr:to>
    <xdr:sp macro="" textlink="">
      <xdr:nvSpPr>
        <xdr:cNvPr id="14389" name="Rectangle 53"/>
        <xdr:cNvSpPr>
          <a:spLocks noChangeArrowheads="1"/>
        </xdr:cNvSpPr>
      </xdr:nvSpPr>
      <xdr:spPr bwMode="auto">
        <a:xfrm>
          <a:off x="2466975" y="2705100"/>
          <a:ext cx="1543050" cy="85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3810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704850</xdr:colOff>
      <xdr:row>5</xdr:row>
      <xdr:rowOff>85725</xdr:rowOff>
    </xdr:from>
    <xdr:to>
      <xdr:col>5</xdr:col>
      <xdr:colOff>9525</xdr:colOff>
      <xdr:row>12</xdr:row>
      <xdr:rowOff>76200</xdr:rowOff>
    </xdr:to>
    <xdr:sp macro="" textlink="">
      <xdr:nvSpPr>
        <xdr:cNvPr id="14390" name="Rectangle 54"/>
        <xdr:cNvSpPr>
          <a:spLocks noChangeArrowheads="1"/>
        </xdr:cNvSpPr>
      </xdr:nvSpPr>
      <xdr:spPr bwMode="auto">
        <a:xfrm>
          <a:off x="3171825" y="1209675"/>
          <a:ext cx="76200" cy="14954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3810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514350</xdr:colOff>
      <xdr:row>19</xdr:row>
      <xdr:rowOff>104775</xdr:rowOff>
    </xdr:from>
    <xdr:to>
      <xdr:col>9</xdr:col>
      <xdr:colOff>838200</xdr:colOff>
      <xdr:row>19</xdr:row>
      <xdr:rowOff>104775</xdr:rowOff>
    </xdr:to>
    <xdr:sp macro="" textlink="">
      <xdr:nvSpPr>
        <xdr:cNvPr id="14391" name="Line 55"/>
        <xdr:cNvSpPr>
          <a:spLocks noChangeShapeType="1"/>
        </xdr:cNvSpPr>
      </xdr:nvSpPr>
      <xdr:spPr bwMode="auto">
        <a:xfrm flipH="1">
          <a:off x="7181850" y="4124325"/>
          <a:ext cx="3238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552450</xdr:colOff>
      <xdr:row>19</xdr:row>
      <xdr:rowOff>104775</xdr:rowOff>
    </xdr:from>
    <xdr:to>
      <xdr:col>4</xdr:col>
      <xdr:colOff>762000</xdr:colOff>
      <xdr:row>19</xdr:row>
      <xdr:rowOff>104775</xdr:rowOff>
    </xdr:to>
    <xdr:sp macro="" textlink="">
      <xdr:nvSpPr>
        <xdr:cNvPr id="14392" name="Line 56"/>
        <xdr:cNvSpPr>
          <a:spLocks noChangeShapeType="1"/>
        </xdr:cNvSpPr>
      </xdr:nvSpPr>
      <xdr:spPr bwMode="auto">
        <a:xfrm flipH="1">
          <a:off x="3019425" y="4124325"/>
          <a:ext cx="2095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514350</xdr:colOff>
      <xdr:row>26</xdr:row>
      <xdr:rowOff>104775</xdr:rowOff>
    </xdr:from>
    <xdr:to>
      <xdr:col>9</xdr:col>
      <xdr:colOff>838200</xdr:colOff>
      <xdr:row>26</xdr:row>
      <xdr:rowOff>104775</xdr:rowOff>
    </xdr:to>
    <xdr:sp macro="" textlink="">
      <xdr:nvSpPr>
        <xdr:cNvPr id="14394" name="Line 58"/>
        <xdr:cNvSpPr>
          <a:spLocks noChangeShapeType="1"/>
        </xdr:cNvSpPr>
      </xdr:nvSpPr>
      <xdr:spPr bwMode="auto">
        <a:xfrm flipH="1">
          <a:off x="7181850" y="5562600"/>
          <a:ext cx="3238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552450</xdr:colOff>
      <xdr:row>26</xdr:row>
      <xdr:rowOff>104775</xdr:rowOff>
    </xdr:from>
    <xdr:to>
      <xdr:col>4</xdr:col>
      <xdr:colOff>762000</xdr:colOff>
      <xdr:row>26</xdr:row>
      <xdr:rowOff>104775</xdr:rowOff>
    </xdr:to>
    <xdr:sp macro="" textlink="">
      <xdr:nvSpPr>
        <xdr:cNvPr id="14395" name="Line 59"/>
        <xdr:cNvSpPr>
          <a:spLocks noChangeShapeType="1"/>
        </xdr:cNvSpPr>
      </xdr:nvSpPr>
      <xdr:spPr bwMode="auto">
        <a:xfrm flipH="1">
          <a:off x="3019425" y="5562600"/>
          <a:ext cx="2095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6</xdr:col>
      <xdr:colOff>847725</xdr:colOff>
      <xdr:row>1</xdr:row>
      <xdr:rowOff>19050</xdr:rowOff>
    </xdr:from>
    <xdr:ext cx="507626" cy="203387"/>
    <xdr:sp macro="" textlink="">
      <xdr:nvSpPr>
        <xdr:cNvPr id="14446" name="Text Box 110"/>
        <xdr:cNvSpPr txBox="1">
          <a:spLocks noChangeArrowheads="1"/>
        </xdr:cNvSpPr>
      </xdr:nvSpPr>
      <xdr:spPr bwMode="auto">
        <a:xfrm>
          <a:off x="4857750" y="314325"/>
          <a:ext cx="504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Inches</a:t>
          </a:r>
        </a:p>
      </xdr:txBody>
    </xdr:sp>
    <xdr:clientData/>
  </xdr:oneCellAnchor>
  <xdr:oneCellAnchor>
    <xdr:from>
      <xdr:col>1</xdr:col>
      <xdr:colOff>781050</xdr:colOff>
      <xdr:row>4</xdr:row>
      <xdr:rowOff>0</xdr:rowOff>
    </xdr:from>
    <xdr:ext cx="511549" cy="200025"/>
    <xdr:sp macro="" textlink="">
      <xdr:nvSpPr>
        <xdr:cNvPr id="14448" name="Text Box 112"/>
        <xdr:cNvSpPr txBox="1">
          <a:spLocks noChangeArrowheads="1"/>
        </xdr:cNvSpPr>
      </xdr:nvSpPr>
      <xdr:spPr bwMode="auto">
        <a:xfrm>
          <a:off x="847725" y="914400"/>
          <a:ext cx="5143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Inches</a:t>
          </a:r>
        </a:p>
      </xdr:txBody>
    </xdr:sp>
    <xdr:clientData/>
  </xdr:oneCellAnchor>
  <xdr:oneCellAnchor>
    <xdr:from>
      <xdr:col>1</xdr:col>
      <xdr:colOff>781050</xdr:colOff>
      <xdr:row>5</xdr:row>
      <xdr:rowOff>9525</xdr:rowOff>
    </xdr:from>
    <xdr:ext cx="340099" cy="201706"/>
    <xdr:sp macro="" textlink="">
      <xdr:nvSpPr>
        <xdr:cNvPr id="14449" name="Text Box 113"/>
        <xdr:cNvSpPr txBox="1">
          <a:spLocks noChangeArrowheads="1"/>
        </xdr:cNvSpPr>
      </xdr:nvSpPr>
      <xdr:spPr bwMode="auto">
        <a:xfrm>
          <a:off x="847725" y="1133475"/>
          <a:ext cx="3429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mm</a:t>
          </a:r>
        </a:p>
      </xdr:txBody>
    </xdr:sp>
    <xdr:clientData/>
  </xdr:oneCellAnchor>
  <xdr:oneCellAnchor>
    <xdr:from>
      <xdr:col>5</xdr:col>
      <xdr:colOff>685800</xdr:colOff>
      <xdr:row>8</xdr:row>
      <xdr:rowOff>47625</xdr:rowOff>
    </xdr:from>
    <xdr:ext cx="506506" cy="197224"/>
    <xdr:sp macro="" textlink="">
      <xdr:nvSpPr>
        <xdr:cNvPr id="14450" name="Text Box 114"/>
        <xdr:cNvSpPr txBox="1">
          <a:spLocks noChangeArrowheads="1"/>
        </xdr:cNvSpPr>
      </xdr:nvSpPr>
      <xdr:spPr bwMode="auto">
        <a:xfrm>
          <a:off x="3924300" y="1809750"/>
          <a:ext cx="504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Inches</a:t>
          </a:r>
        </a:p>
      </xdr:txBody>
    </xdr:sp>
    <xdr:clientData/>
  </xdr:oneCellAnchor>
  <xdr:oneCellAnchor>
    <xdr:from>
      <xdr:col>5</xdr:col>
      <xdr:colOff>419100</xdr:colOff>
      <xdr:row>9</xdr:row>
      <xdr:rowOff>47625</xdr:rowOff>
    </xdr:from>
    <xdr:ext cx="333375" cy="197223"/>
    <xdr:sp macro="" textlink="">
      <xdr:nvSpPr>
        <xdr:cNvPr id="14451" name="Text Box 115"/>
        <xdr:cNvSpPr txBox="1">
          <a:spLocks noChangeArrowheads="1"/>
        </xdr:cNvSpPr>
      </xdr:nvSpPr>
      <xdr:spPr bwMode="auto">
        <a:xfrm>
          <a:off x="3657600" y="2047875"/>
          <a:ext cx="3333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mm</a:t>
          </a:r>
        </a:p>
      </xdr:txBody>
    </xdr:sp>
    <xdr:clientData/>
  </xdr:oneCellAnchor>
  <xdr:oneCellAnchor>
    <xdr:from>
      <xdr:col>6</xdr:col>
      <xdr:colOff>447675</xdr:colOff>
      <xdr:row>2</xdr:row>
      <xdr:rowOff>9525</xdr:rowOff>
    </xdr:from>
    <xdr:ext cx="333375" cy="201706"/>
    <xdr:sp macro="" textlink="">
      <xdr:nvSpPr>
        <xdr:cNvPr id="14452" name="Text Box 116"/>
        <xdr:cNvSpPr txBox="1">
          <a:spLocks noChangeArrowheads="1"/>
        </xdr:cNvSpPr>
      </xdr:nvSpPr>
      <xdr:spPr bwMode="auto">
        <a:xfrm>
          <a:off x="4457700" y="514350"/>
          <a:ext cx="3333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mm</a:t>
          </a:r>
        </a:p>
      </xdr:txBody>
    </xdr:sp>
    <xdr:clientData/>
  </xdr:oneCellAnchor>
  <xdr:oneCellAnchor>
    <xdr:from>
      <xdr:col>4</xdr:col>
      <xdr:colOff>0</xdr:colOff>
      <xdr:row>9</xdr:row>
      <xdr:rowOff>38100</xdr:rowOff>
    </xdr:from>
    <xdr:ext cx="333375" cy="197223"/>
    <xdr:sp macro="" textlink="">
      <xdr:nvSpPr>
        <xdr:cNvPr id="14453" name="Text Box 117"/>
        <xdr:cNvSpPr txBox="1">
          <a:spLocks noChangeArrowheads="1"/>
        </xdr:cNvSpPr>
      </xdr:nvSpPr>
      <xdr:spPr bwMode="auto">
        <a:xfrm>
          <a:off x="2466975" y="2038350"/>
          <a:ext cx="3333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mm</a:t>
          </a:r>
        </a:p>
      </xdr:txBody>
    </xdr:sp>
    <xdr:clientData/>
  </xdr:oneCellAnchor>
  <xdr:oneCellAnchor>
    <xdr:from>
      <xdr:col>3</xdr:col>
      <xdr:colOff>647700</xdr:colOff>
      <xdr:row>8</xdr:row>
      <xdr:rowOff>38100</xdr:rowOff>
    </xdr:from>
    <xdr:ext cx="504265" cy="197224"/>
    <xdr:sp macro="" textlink="">
      <xdr:nvSpPr>
        <xdr:cNvPr id="14454" name="Text Box 118"/>
        <xdr:cNvSpPr txBox="1">
          <a:spLocks noChangeArrowheads="1"/>
        </xdr:cNvSpPr>
      </xdr:nvSpPr>
      <xdr:spPr bwMode="auto">
        <a:xfrm>
          <a:off x="2228850" y="1800225"/>
          <a:ext cx="504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Inches</a:t>
          </a:r>
        </a:p>
      </xdr:txBody>
    </xdr:sp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142875</xdr:colOff>
      <xdr:row>110</xdr:row>
      <xdr:rowOff>152400</xdr:rowOff>
    </xdr:from>
    <xdr:to>
      <xdr:col>10</xdr:col>
      <xdr:colOff>9525</xdr:colOff>
      <xdr:row>110</xdr:row>
      <xdr:rowOff>152400</xdr:rowOff>
    </xdr:to>
    <xdr:sp macro="" textlink="">
      <xdr:nvSpPr>
        <xdr:cNvPr id="27667" name="Line 19"/>
        <xdr:cNvSpPr>
          <a:spLocks noChangeShapeType="1"/>
        </xdr:cNvSpPr>
      </xdr:nvSpPr>
      <xdr:spPr bwMode="auto">
        <a:xfrm>
          <a:off x="4943475" y="19392900"/>
          <a:ext cx="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110</xdr:row>
      <xdr:rowOff>142875</xdr:rowOff>
    </xdr:from>
    <xdr:to>
      <xdr:col>9</xdr:col>
      <xdr:colOff>409575</xdr:colOff>
      <xdr:row>112</xdr:row>
      <xdr:rowOff>28575</xdr:rowOff>
    </xdr:to>
    <xdr:sp macro="" textlink="">
      <xdr:nvSpPr>
        <xdr:cNvPr id="27668" name="Line 20"/>
        <xdr:cNvSpPr>
          <a:spLocks noChangeShapeType="1"/>
        </xdr:cNvSpPr>
      </xdr:nvSpPr>
      <xdr:spPr bwMode="auto">
        <a:xfrm>
          <a:off x="4943475" y="19383375"/>
          <a:ext cx="0" cy="2095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114</xdr:row>
      <xdr:rowOff>142875</xdr:rowOff>
    </xdr:from>
    <xdr:to>
      <xdr:col>9</xdr:col>
      <xdr:colOff>390525</xdr:colOff>
      <xdr:row>115</xdr:row>
      <xdr:rowOff>76200</xdr:rowOff>
    </xdr:to>
    <xdr:sp macro="" textlink="">
      <xdr:nvSpPr>
        <xdr:cNvPr id="27669" name="Line 21"/>
        <xdr:cNvSpPr>
          <a:spLocks noChangeShapeType="1"/>
        </xdr:cNvSpPr>
      </xdr:nvSpPr>
      <xdr:spPr bwMode="auto">
        <a:xfrm>
          <a:off x="4943475" y="20031075"/>
          <a:ext cx="0" cy="1047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390525</xdr:colOff>
      <xdr:row>118</xdr:row>
      <xdr:rowOff>142875</xdr:rowOff>
    </xdr:from>
    <xdr:to>
      <xdr:col>8</xdr:col>
      <xdr:colOff>390525</xdr:colOff>
      <xdr:row>119</xdr:row>
      <xdr:rowOff>76200</xdr:rowOff>
    </xdr:to>
    <xdr:sp macro="" textlink="">
      <xdr:nvSpPr>
        <xdr:cNvPr id="27672" name="Line 24"/>
        <xdr:cNvSpPr>
          <a:spLocks noChangeShapeType="1"/>
        </xdr:cNvSpPr>
      </xdr:nvSpPr>
      <xdr:spPr bwMode="auto">
        <a:xfrm>
          <a:off x="4943475" y="20697825"/>
          <a:ext cx="0" cy="95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542925</xdr:colOff>
      <xdr:row>18</xdr:row>
      <xdr:rowOff>0</xdr:rowOff>
    </xdr:from>
    <xdr:to>
      <xdr:col>3</xdr:col>
      <xdr:colOff>114300</xdr:colOff>
      <xdr:row>22</xdr:row>
      <xdr:rowOff>171450</xdr:rowOff>
    </xdr:to>
    <xdr:sp macro="" textlink="">
      <xdr:nvSpPr>
        <xdr:cNvPr id="27689" name="Oval 41"/>
        <xdr:cNvSpPr>
          <a:spLocks noChangeArrowheads="1"/>
        </xdr:cNvSpPr>
      </xdr:nvSpPr>
      <xdr:spPr bwMode="auto">
        <a:xfrm>
          <a:off x="723900" y="3314700"/>
          <a:ext cx="1057275" cy="97155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905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</xdr:spPr>
    </xdr:sp>
    <xdr:clientData/>
  </xdr:twoCellAnchor>
  <xdr:twoCellAnchor>
    <xdr:from>
      <xdr:col>1</xdr:col>
      <xdr:colOff>571500</xdr:colOff>
      <xdr:row>18</xdr:row>
      <xdr:rowOff>28575</xdr:rowOff>
    </xdr:from>
    <xdr:to>
      <xdr:col>3</xdr:col>
      <xdr:colOff>76200</xdr:colOff>
      <xdr:row>22</xdr:row>
      <xdr:rowOff>142875</xdr:rowOff>
    </xdr:to>
    <xdr:sp macro="" textlink="">
      <xdr:nvSpPr>
        <xdr:cNvPr id="27690" name="Oval 42"/>
        <xdr:cNvSpPr>
          <a:spLocks noChangeArrowheads="1"/>
        </xdr:cNvSpPr>
      </xdr:nvSpPr>
      <xdr:spPr bwMode="auto">
        <a:xfrm>
          <a:off x="752475" y="3343275"/>
          <a:ext cx="990600" cy="9144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905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</xdr:spPr>
    </xdr:sp>
    <xdr:clientData/>
  </xdr:twoCellAnchor>
  <xdr:twoCellAnchor>
    <xdr:from>
      <xdr:col>1</xdr:col>
      <xdr:colOff>523875</xdr:colOff>
      <xdr:row>14</xdr:row>
      <xdr:rowOff>38100</xdr:rowOff>
    </xdr:from>
    <xdr:to>
      <xdr:col>1</xdr:col>
      <xdr:colOff>523875</xdr:colOff>
      <xdr:row>20</xdr:row>
      <xdr:rowOff>114300</xdr:rowOff>
    </xdr:to>
    <xdr:sp macro="" textlink="">
      <xdr:nvSpPr>
        <xdr:cNvPr id="27691" name="Line 43"/>
        <xdr:cNvSpPr>
          <a:spLocks noChangeShapeType="1"/>
        </xdr:cNvSpPr>
      </xdr:nvSpPr>
      <xdr:spPr bwMode="auto">
        <a:xfrm flipV="1">
          <a:off x="704850" y="2647950"/>
          <a:ext cx="0" cy="12001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133350</xdr:colOff>
      <xdr:row>14</xdr:row>
      <xdr:rowOff>57150</xdr:rowOff>
    </xdr:from>
    <xdr:to>
      <xdr:col>3</xdr:col>
      <xdr:colOff>133350</xdr:colOff>
      <xdr:row>20</xdr:row>
      <xdr:rowOff>133350</xdr:rowOff>
    </xdr:to>
    <xdr:sp macro="" textlink="">
      <xdr:nvSpPr>
        <xdr:cNvPr id="27692" name="Line 44"/>
        <xdr:cNvSpPr>
          <a:spLocks noChangeShapeType="1"/>
        </xdr:cNvSpPr>
      </xdr:nvSpPr>
      <xdr:spPr bwMode="auto">
        <a:xfrm flipV="1">
          <a:off x="1800225" y="2667000"/>
          <a:ext cx="0" cy="12001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266700</xdr:colOff>
      <xdr:row>14</xdr:row>
      <xdr:rowOff>114300</xdr:rowOff>
    </xdr:from>
    <xdr:to>
      <xdr:col>1</xdr:col>
      <xdr:colOff>523875</xdr:colOff>
      <xdr:row>14</xdr:row>
      <xdr:rowOff>114300</xdr:rowOff>
    </xdr:to>
    <xdr:sp macro="" textlink="">
      <xdr:nvSpPr>
        <xdr:cNvPr id="27693" name="Line 45"/>
        <xdr:cNvSpPr>
          <a:spLocks noChangeShapeType="1"/>
        </xdr:cNvSpPr>
      </xdr:nvSpPr>
      <xdr:spPr bwMode="auto">
        <a:xfrm flipH="1">
          <a:off x="447675" y="2724150"/>
          <a:ext cx="2571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123825</xdr:colOff>
      <xdr:row>14</xdr:row>
      <xdr:rowOff>104775</xdr:rowOff>
    </xdr:from>
    <xdr:to>
      <xdr:col>3</xdr:col>
      <xdr:colOff>381000</xdr:colOff>
      <xdr:row>14</xdr:row>
      <xdr:rowOff>104775</xdr:rowOff>
    </xdr:to>
    <xdr:sp macro="" textlink="">
      <xdr:nvSpPr>
        <xdr:cNvPr id="27694" name="Line 46"/>
        <xdr:cNvSpPr>
          <a:spLocks noChangeShapeType="1"/>
        </xdr:cNvSpPr>
      </xdr:nvSpPr>
      <xdr:spPr bwMode="auto">
        <a:xfrm flipH="1">
          <a:off x="1790700" y="2714625"/>
          <a:ext cx="2571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</xdr:col>
      <xdr:colOff>581025</xdr:colOff>
      <xdr:row>16</xdr:row>
      <xdr:rowOff>0</xdr:rowOff>
    </xdr:from>
    <xdr:to>
      <xdr:col>5</xdr:col>
      <xdr:colOff>9525</xdr:colOff>
      <xdr:row>17</xdr:row>
      <xdr:rowOff>28575</xdr:rowOff>
    </xdr:to>
    <xdr:sp macro="" textlink="">
      <xdr:nvSpPr>
        <xdr:cNvPr id="27695" name="Text Box 47"/>
        <xdr:cNvSpPr txBox="1">
          <a:spLocks noChangeArrowheads="1"/>
        </xdr:cNvSpPr>
      </xdr:nvSpPr>
      <xdr:spPr bwMode="auto">
        <a:xfrm>
          <a:off x="2247900" y="2981325"/>
          <a:ext cx="866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Pipe Weight</a:t>
          </a:r>
        </a:p>
        <a:p>
          <a:pPr algn="l" rtl="0">
            <a:defRPr sz="1000"/>
          </a:pPr>
          <a:endParaRPr lang="en-US" sz="10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2</xdr:col>
      <xdr:colOff>219075</xdr:colOff>
      <xdr:row>22</xdr:row>
      <xdr:rowOff>161925</xdr:rowOff>
    </xdr:from>
    <xdr:to>
      <xdr:col>2</xdr:col>
      <xdr:colOff>219075</xdr:colOff>
      <xdr:row>24</xdr:row>
      <xdr:rowOff>104775</xdr:rowOff>
    </xdr:to>
    <xdr:sp macro="" textlink="">
      <xdr:nvSpPr>
        <xdr:cNvPr id="27696" name="Line 48"/>
        <xdr:cNvSpPr>
          <a:spLocks noChangeShapeType="1"/>
        </xdr:cNvSpPr>
      </xdr:nvSpPr>
      <xdr:spPr bwMode="auto">
        <a:xfrm>
          <a:off x="1247775" y="4276725"/>
          <a:ext cx="0" cy="3524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209550</xdr:colOff>
      <xdr:row>21</xdr:row>
      <xdr:rowOff>123825</xdr:rowOff>
    </xdr:from>
    <xdr:to>
      <xdr:col>2</xdr:col>
      <xdr:colOff>219075</xdr:colOff>
      <xdr:row>22</xdr:row>
      <xdr:rowOff>152400</xdr:rowOff>
    </xdr:to>
    <xdr:sp macro="" textlink="">
      <xdr:nvSpPr>
        <xdr:cNvPr id="27697" name="Line 49"/>
        <xdr:cNvSpPr>
          <a:spLocks noChangeShapeType="1"/>
        </xdr:cNvSpPr>
      </xdr:nvSpPr>
      <xdr:spPr bwMode="auto">
        <a:xfrm>
          <a:off x="1238250" y="4067175"/>
          <a:ext cx="9525" cy="2000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219075</xdr:colOff>
      <xdr:row>24</xdr:row>
      <xdr:rowOff>114300</xdr:rowOff>
    </xdr:from>
    <xdr:to>
      <xdr:col>2</xdr:col>
      <xdr:colOff>371475</xdr:colOff>
      <xdr:row>24</xdr:row>
      <xdr:rowOff>114300</xdr:rowOff>
    </xdr:to>
    <xdr:sp macro="" textlink="">
      <xdr:nvSpPr>
        <xdr:cNvPr id="27698" name="Line 50"/>
        <xdr:cNvSpPr>
          <a:spLocks noChangeShapeType="1"/>
        </xdr:cNvSpPr>
      </xdr:nvSpPr>
      <xdr:spPr bwMode="auto">
        <a:xfrm>
          <a:off x="1247775" y="4638675"/>
          <a:ext cx="1524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533400</xdr:colOff>
      <xdr:row>15</xdr:row>
      <xdr:rowOff>114300</xdr:rowOff>
    </xdr:from>
    <xdr:to>
      <xdr:col>11</xdr:col>
      <xdr:colOff>76200</xdr:colOff>
      <xdr:row>16</xdr:row>
      <xdr:rowOff>28575</xdr:rowOff>
    </xdr:to>
    <xdr:sp macro="" textlink="">
      <xdr:nvSpPr>
        <xdr:cNvPr id="27699" name="Rectangle 51"/>
        <xdr:cNvSpPr>
          <a:spLocks noChangeArrowheads="1"/>
        </xdr:cNvSpPr>
      </xdr:nvSpPr>
      <xdr:spPr bwMode="auto">
        <a:xfrm>
          <a:off x="4305300" y="2933700"/>
          <a:ext cx="714375" cy="762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295275</xdr:colOff>
      <xdr:row>16</xdr:row>
      <xdr:rowOff>28575</xdr:rowOff>
    </xdr:from>
    <xdr:to>
      <xdr:col>7</xdr:col>
      <xdr:colOff>371475</xdr:colOff>
      <xdr:row>20</xdr:row>
      <xdr:rowOff>66675</xdr:rowOff>
    </xdr:to>
    <xdr:sp macro="" textlink="">
      <xdr:nvSpPr>
        <xdr:cNvPr id="27700" name="Rectangle 52"/>
        <xdr:cNvSpPr>
          <a:spLocks noChangeArrowheads="1"/>
        </xdr:cNvSpPr>
      </xdr:nvSpPr>
      <xdr:spPr bwMode="auto">
        <a:xfrm>
          <a:off x="4610100" y="3009900"/>
          <a:ext cx="76200" cy="790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419100</xdr:colOff>
      <xdr:row>20</xdr:row>
      <xdr:rowOff>66675</xdr:rowOff>
    </xdr:from>
    <xdr:to>
      <xdr:col>12</xdr:col>
      <xdr:colOff>457200</xdr:colOff>
      <xdr:row>20</xdr:row>
      <xdr:rowOff>66675</xdr:rowOff>
    </xdr:to>
    <xdr:sp macro="" textlink="">
      <xdr:nvSpPr>
        <xdr:cNvPr id="27701" name="Line 53"/>
        <xdr:cNvSpPr>
          <a:spLocks noChangeShapeType="1"/>
        </xdr:cNvSpPr>
      </xdr:nvSpPr>
      <xdr:spPr bwMode="auto">
        <a:xfrm>
          <a:off x="4733925" y="3800475"/>
          <a:ext cx="12763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142875</xdr:colOff>
      <xdr:row>15</xdr:row>
      <xdr:rowOff>152400</xdr:rowOff>
    </xdr:from>
    <xdr:to>
      <xdr:col>10</xdr:col>
      <xdr:colOff>9525</xdr:colOff>
      <xdr:row>15</xdr:row>
      <xdr:rowOff>152400</xdr:rowOff>
    </xdr:to>
    <xdr:sp macro="" textlink="">
      <xdr:nvSpPr>
        <xdr:cNvPr id="27702" name="Line 54"/>
        <xdr:cNvSpPr>
          <a:spLocks noChangeShapeType="1"/>
        </xdr:cNvSpPr>
      </xdr:nvSpPr>
      <xdr:spPr bwMode="auto">
        <a:xfrm>
          <a:off x="4943475" y="2971800"/>
          <a:ext cx="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15</xdr:row>
      <xdr:rowOff>142875</xdr:rowOff>
    </xdr:from>
    <xdr:to>
      <xdr:col>9</xdr:col>
      <xdr:colOff>409575</xdr:colOff>
      <xdr:row>17</xdr:row>
      <xdr:rowOff>28575</xdr:rowOff>
    </xdr:to>
    <xdr:sp macro="" textlink="">
      <xdr:nvSpPr>
        <xdr:cNvPr id="27703" name="Line 55"/>
        <xdr:cNvSpPr>
          <a:spLocks noChangeShapeType="1"/>
        </xdr:cNvSpPr>
      </xdr:nvSpPr>
      <xdr:spPr bwMode="auto">
        <a:xfrm>
          <a:off x="4943475" y="2962275"/>
          <a:ext cx="0" cy="2095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19</xdr:row>
      <xdr:rowOff>142875</xdr:rowOff>
    </xdr:from>
    <xdr:to>
      <xdr:col>9</xdr:col>
      <xdr:colOff>390525</xdr:colOff>
      <xdr:row>20</xdr:row>
      <xdr:rowOff>76200</xdr:rowOff>
    </xdr:to>
    <xdr:sp macro="" textlink="">
      <xdr:nvSpPr>
        <xdr:cNvPr id="27704" name="Line 56"/>
        <xdr:cNvSpPr>
          <a:spLocks noChangeShapeType="1"/>
        </xdr:cNvSpPr>
      </xdr:nvSpPr>
      <xdr:spPr bwMode="auto">
        <a:xfrm>
          <a:off x="4943475" y="3667125"/>
          <a:ext cx="0" cy="1428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285750</xdr:colOff>
      <xdr:row>20</xdr:row>
      <xdr:rowOff>114300</xdr:rowOff>
    </xdr:from>
    <xdr:to>
      <xdr:col>7</xdr:col>
      <xdr:colOff>285750</xdr:colOff>
      <xdr:row>23</xdr:row>
      <xdr:rowOff>38100</xdr:rowOff>
    </xdr:to>
    <xdr:sp macro="" textlink="">
      <xdr:nvSpPr>
        <xdr:cNvPr id="27705" name="Line 57"/>
        <xdr:cNvSpPr>
          <a:spLocks noChangeShapeType="1"/>
        </xdr:cNvSpPr>
      </xdr:nvSpPr>
      <xdr:spPr bwMode="auto">
        <a:xfrm>
          <a:off x="4600575" y="3848100"/>
          <a:ext cx="0" cy="5143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371475</xdr:colOff>
      <xdr:row>20</xdr:row>
      <xdr:rowOff>114300</xdr:rowOff>
    </xdr:from>
    <xdr:to>
      <xdr:col>7</xdr:col>
      <xdr:colOff>371475</xdr:colOff>
      <xdr:row>23</xdr:row>
      <xdr:rowOff>38100</xdr:rowOff>
    </xdr:to>
    <xdr:sp macro="" textlink="">
      <xdr:nvSpPr>
        <xdr:cNvPr id="27706" name="Line 58"/>
        <xdr:cNvSpPr>
          <a:spLocks noChangeShapeType="1"/>
        </xdr:cNvSpPr>
      </xdr:nvSpPr>
      <xdr:spPr bwMode="auto">
        <a:xfrm>
          <a:off x="4686300" y="3848100"/>
          <a:ext cx="0" cy="5143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390525</xdr:colOff>
      <xdr:row>23</xdr:row>
      <xdr:rowOff>142875</xdr:rowOff>
    </xdr:from>
    <xdr:to>
      <xdr:col>8</xdr:col>
      <xdr:colOff>390525</xdr:colOff>
      <xdr:row>24</xdr:row>
      <xdr:rowOff>76200</xdr:rowOff>
    </xdr:to>
    <xdr:sp macro="" textlink="">
      <xdr:nvSpPr>
        <xdr:cNvPr id="27707" name="Line 59"/>
        <xdr:cNvSpPr>
          <a:spLocks noChangeShapeType="1"/>
        </xdr:cNvSpPr>
      </xdr:nvSpPr>
      <xdr:spPr bwMode="auto">
        <a:xfrm>
          <a:off x="4943475" y="4467225"/>
          <a:ext cx="0" cy="1333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523875</xdr:colOff>
      <xdr:row>12</xdr:row>
      <xdr:rowOff>142875</xdr:rowOff>
    </xdr:from>
    <xdr:to>
      <xdr:col>6</xdr:col>
      <xdr:colOff>523875</xdr:colOff>
      <xdr:row>15</xdr:row>
      <xdr:rowOff>57150</xdr:rowOff>
    </xdr:to>
    <xdr:sp macro="" textlink="">
      <xdr:nvSpPr>
        <xdr:cNvPr id="27708" name="Line 60"/>
        <xdr:cNvSpPr>
          <a:spLocks noChangeShapeType="1"/>
        </xdr:cNvSpPr>
      </xdr:nvSpPr>
      <xdr:spPr bwMode="auto">
        <a:xfrm>
          <a:off x="4295775" y="2371725"/>
          <a:ext cx="0" cy="5048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76200</xdr:colOff>
      <xdr:row>13</xdr:row>
      <xdr:rowOff>9525</xdr:rowOff>
    </xdr:from>
    <xdr:to>
      <xdr:col>11</xdr:col>
      <xdr:colOff>76200</xdr:colOff>
      <xdr:row>15</xdr:row>
      <xdr:rowOff>57150</xdr:rowOff>
    </xdr:to>
    <xdr:sp macro="" textlink="">
      <xdr:nvSpPr>
        <xdr:cNvPr id="27709" name="Line 61"/>
        <xdr:cNvSpPr>
          <a:spLocks noChangeShapeType="1"/>
        </xdr:cNvSpPr>
      </xdr:nvSpPr>
      <xdr:spPr bwMode="auto">
        <a:xfrm>
          <a:off x="5019675" y="2409825"/>
          <a:ext cx="0" cy="4667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200025</xdr:colOff>
      <xdr:row>13</xdr:row>
      <xdr:rowOff>85725</xdr:rowOff>
    </xdr:from>
    <xdr:to>
      <xdr:col>6</xdr:col>
      <xdr:colOff>523875</xdr:colOff>
      <xdr:row>13</xdr:row>
      <xdr:rowOff>85725</xdr:rowOff>
    </xdr:to>
    <xdr:sp macro="" textlink="">
      <xdr:nvSpPr>
        <xdr:cNvPr id="27710" name="Line 62"/>
        <xdr:cNvSpPr>
          <a:spLocks noChangeShapeType="1"/>
        </xdr:cNvSpPr>
      </xdr:nvSpPr>
      <xdr:spPr bwMode="auto">
        <a:xfrm flipH="1">
          <a:off x="3971925" y="2486025"/>
          <a:ext cx="3238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95250</xdr:colOff>
      <xdr:row>13</xdr:row>
      <xdr:rowOff>85725</xdr:rowOff>
    </xdr:from>
    <xdr:to>
      <xdr:col>11</xdr:col>
      <xdr:colOff>390525</xdr:colOff>
      <xdr:row>13</xdr:row>
      <xdr:rowOff>85725</xdr:rowOff>
    </xdr:to>
    <xdr:sp macro="" textlink="">
      <xdr:nvSpPr>
        <xdr:cNvPr id="27711" name="Line 63"/>
        <xdr:cNvSpPr>
          <a:spLocks noChangeShapeType="1"/>
        </xdr:cNvSpPr>
      </xdr:nvSpPr>
      <xdr:spPr bwMode="auto">
        <a:xfrm flipH="1">
          <a:off x="5038725" y="2486025"/>
          <a:ext cx="2952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561975</xdr:colOff>
      <xdr:row>22</xdr:row>
      <xdr:rowOff>123825</xdr:rowOff>
    </xdr:from>
    <xdr:to>
      <xdr:col>7</xdr:col>
      <xdr:colOff>276225</xdr:colOff>
      <xdr:row>22</xdr:row>
      <xdr:rowOff>123825</xdr:rowOff>
    </xdr:to>
    <xdr:sp macro="" textlink="">
      <xdr:nvSpPr>
        <xdr:cNvPr id="27712" name="Line 64"/>
        <xdr:cNvSpPr>
          <a:spLocks noChangeShapeType="1"/>
        </xdr:cNvSpPr>
      </xdr:nvSpPr>
      <xdr:spPr bwMode="auto">
        <a:xfrm flipH="1">
          <a:off x="4314825" y="4238625"/>
          <a:ext cx="27622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381000</xdr:colOff>
      <xdr:row>22</xdr:row>
      <xdr:rowOff>123825</xdr:rowOff>
    </xdr:from>
    <xdr:to>
      <xdr:col>11</xdr:col>
      <xdr:colOff>381000</xdr:colOff>
      <xdr:row>22</xdr:row>
      <xdr:rowOff>123825</xdr:rowOff>
    </xdr:to>
    <xdr:sp macro="" textlink="">
      <xdr:nvSpPr>
        <xdr:cNvPr id="27713" name="Line 65"/>
        <xdr:cNvSpPr>
          <a:spLocks noChangeShapeType="1"/>
        </xdr:cNvSpPr>
      </xdr:nvSpPr>
      <xdr:spPr bwMode="auto">
        <a:xfrm flipH="1">
          <a:off x="4695825" y="4238625"/>
          <a:ext cx="6286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142875</xdr:colOff>
      <xdr:row>15</xdr:row>
      <xdr:rowOff>104775</xdr:rowOff>
    </xdr:from>
    <xdr:to>
      <xdr:col>12</xdr:col>
      <xdr:colOff>428625</xdr:colOff>
      <xdr:row>15</xdr:row>
      <xdr:rowOff>104775</xdr:rowOff>
    </xdr:to>
    <xdr:sp macro="" textlink="">
      <xdr:nvSpPr>
        <xdr:cNvPr id="27714" name="Line 66"/>
        <xdr:cNvSpPr>
          <a:spLocks noChangeShapeType="1"/>
        </xdr:cNvSpPr>
      </xdr:nvSpPr>
      <xdr:spPr bwMode="auto">
        <a:xfrm>
          <a:off x="5086350" y="2924175"/>
          <a:ext cx="8953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333375</xdr:colOff>
      <xdr:row>15</xdr:row>
      <xdr:rowOff>114300</xdr:rowOff>
    </xdr:from>
    <xdr:to>
      <xdr:col>12</xdr:col>
      <xdr:colOff>333375</xdr:colOff>
      <xdr:row>16</xdr:row>
      <xdr:rowOff>114300</xdr:rowOff>
    </xdr:to>
    <xdr:sp macro="" textlink="">
      <xdr:nvSpPr>
        <xdr:cNvPr id="27715" name="Line 67"/>
        <xdr:cNvSpPr>
          <a:spLocks noChangeShapeType="1"/>
        </xdr:cNvSpPr>
      </xdr:nvSpPr>
      <xdr:spPr bwMode="auto">
        <a:xfrm>
          <a:off x="5886450" y="2933700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333375</xdr:colOff>
      <xdr:row>19</xdr:row>
      <xdr:rowOff>57150</xdr:rowOff>
    </xdr:from>
    <xdr:to>
      <xdr:col>12</xdr:col>
      <xdr:colOff>333375</xdr:colOff>
      <xdr:row>20</xdr:row>
      <xdr:rowOff>66675</xdr:rowOff>
    </xdr:to>
    <xdr:sp macro="" textlink="">
      <xdr:nvSpPr>
        <xdr:cNvPr id="27716" name="Line 68"/>
        <xdr:cNvSpPr>
          <a:spLocks noChangeShapeType="1"/>
        </xdr:cNvSpPr>
      </xdr:nvSpPr>
      <xdr:spPr bwMode="auto">
        <a:xfrm>
          <a:off x="5886450" y="3581400"/>
          <a:ext cx="0" cy="21907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11</xdr:col>
      <xdr:colOff>0</xdr:colOff>
      <xdr:row>18</xdr:row>
      <xdr:rowOff>38100</xdr:rowOff>
    </xdr:from>
    <xdr:ext cx="390525" cy="180975"/>
    <xdr:sp macro="" textlink="">
      <xdr:nvSpPr>
        <xdr:cNvPr id="27717" name="Text Box 69"/>
        <xdr:cNvSpPr txBox="1">
          <a:spLocks noChangeArrowheads="1"/>
        </xdr:cNvSpPr>
      </xdr:nvSpPr>
      <xdr:spPr bwMode="auto">
        <a:xfrm>
          <a:off x="4943475" y="3352800"/>
          <a:ext cx="3905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1" i="0" u="none" strike="noStrike" baseline="0">
              <a:solidFill>
                <a:srgbClr val="FF0000"/>
              </a:solidFill>
              <a:latin typeface="Arial"/>
              <a:cs typeface="Arial"/>
            </a:rPr>
            <a:t>Key In</a:t>
          </a:r>
        </a:p>
      </xdr:txBody>
    </xdr:sp>
    <xdr:clientData/>
  </xdr:oneCellAnchor>
  <xdr:twoCellAnchor>
    <xdr:from>
      <xdr:col>5</xdr:col>
      <xdr:colOff>666750</xdr:colOff>
      <xdr:row>15</xdr:row>
      <xdr:rowOff>104775</xdr:rowOff>
    </xdr:from>
    <xdr:to>
      <xdr:col>6</xdr:col>
      <xdr:colOff>504825</xdr:colOff>
      <xdr:row>15</xdr:row>
      <xdr:rowOff>104775</xdr:rowOff>
    </xdr:to>
    <xdr:sp macro="" textlink="">
      <xdr:nvSpPr>
        <xdr:cNvPr id="27718" name="Line 70"/>
        <xdr:cNvSpPr>
          <a:spLocks noChangeShapeType="1"/>
        </xdr:cNvSpPr>
      </xdr:nvSpPr>
      <xdr:spPr bwMode="auto">
        <a:xfrm>
          <a:off x="3771900" y="2924175"/>
          <a:ext cx="50482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676275</xdr:colOff>
      <xdr:row>16</xdr:row>
      <xdr:rowOff>38100</xdr:rowOff>
    </xdr:from>
    <xdr:to>
      <xdr:col>6</xdr:col>
      <xdr:colOff>514350</xdr:colOff>
      <xdr:row>16</xdr:row>
      <xdr:rowOff>38100</xdr:rowOff>
    </xdr:to>
    <xdr:sp macro="" textlink="">
      <xdr:nvSpPr>
        <xdr:cNvPr id="27719" name="Line 71"/>
        <xdr:cNvSpPr>
          <a:spLocks noChangeShapeType="1"/>
        </xdr:cNvSpPr>
      </xdr:nvSpPr>
      <xdr:spPr bwMode="auto">
        <a:xfrm>
          <a:off x="3771900" y="3019425"/>
          <a:ext cx="5143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733425</xdr:colOff>
      <xdr:row>16</xdr:row>
      <xdr:rowOff>38100</xdr:rowOff>
    </xdr:from>
    <xdr:to>
      <xdr:col>5</xdr:col>
      <xdr:colOff>733425</xdr:colOff>
      <xdr:row>19</xdr:row>
      <xdr:rowOff>133350</xdr:rowOff>
    </xdr:to>
    <xdr:sp macro="" textlink="">
      <xdr:nvSpPr>
        <xdr:cNvPr id="27720" name="Line 72"/>
        <xdr:cNvSpPr>
          <a:spLocks noChangeShapeType="1"/>
        </xdr:cNvSpPr>
      </xdr:nvSpPr>
      <xdr:spPr bwMode="auto">
        <a:xfrm>
          <a:off x="3771900" y="3019425"/>
          <a:ext cx="0" cy="63817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742950</xdr:colOff>
      <xdr:row>19</xdr:row>
      <xdr:rowOff>123825</xdr:rowOff>
    </xdr:from>
    <xdr:to>
      <xdr:col>6</xdr:col>
      <xdr:colOff>0</xdr:colOff>
      <xdr:row>19</xdr:row>
      <xdr:rowOff>133350</xdr:rowOff>
    </xdr:to>
    <xdr:sp macro="" textlink="">
      <xdr:nvSpPr>
        <xdr:cNvPr id="27721" name="Line 73"/>
        <xdr:cNvSpPr>
          <a:spLocks noChangeShapeType="1"/>
        </xdr:cNvSpPr>
      </xdr:nvSpPr>
      <xdr:spPr bwMode="auto">
        <a:xfrm>
          <a:off x="3771900" y="3648075"/>
          <a:ext cx="0" cy="95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733425</xdr:colOff>
      <xdr:row>14</xdr:row>
      <xdr:rowOff>28575</xdr:rowOff>
    </xdr:from>
    <xdr:to>
      <xdr:col>5</xdr:col>
      <xdr:colOff>733425</xdr:colOff>
      <xdr:row>15</xdr:row>
      <xdr:rowOff>85725</xdr:rowOff>
    </xdr:to>
    <xdr:sp macro="" textlink="">
      <xdr:nvSpPr>
        <xdr:cNvPr id="27722" name="Line 74"/>
        <xdr:cNvSpPr>
          <a:spLocks noChangeShapeType="1"/>
        </xdr:cNvSpPr>
      </xdr:nvSpPr>
      <xdr:spPr bwMode="auto">
        <a:xfrm flipV="1">
          <a:off x="3771900" y="2638425"/>
          <a:ext cx="0" cy="26670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228600</xdr:colOff>
      <xdr:row>24</xdr:row>
      <xdr:rowOff>47625</xdr:rowOff>
    </xdr:from>
    <xdr:to>
      <xdr:col>7</xdr:col>
      <xdr:colOff>552450</xdr:colOff>
      <xdr:row>25</xdr:row>
      <xdr:rowOff>28575</xdr:rowOff>
    </xdr:to>
    <xdr:sp macro="" textlink="">
      <xdr:nvSpPr>
        <xdr:cNvPr id="27723" name="Text Box 75"/>
        <xdr:cNvSpPr txBox="1">
          <a:spLocks noChangeArrowheads="1"/>
        </xdr:cNvSpPr>
      </xdr:nvSpPr>
      <xdr:spPr bwMode="auto">
        <a:xfrm>
          <a:off x="4000500" y="4572000"/>
          <a:ext cx="866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Tee Weight</a:t>
          </a:r>
        </a:p>
        <a:p>
          <a:pPr algn="l" rtl="0">
            <a:defRPr sz="1000"/>
          </a:pPr>
          <a:endParaRPr lang="en-US" sz="10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7</xdr:col>
      <xdr:colOff>76200</xdr:colOff>
      <xdr:row>30</xdr:row>
      <xdr:rowOff>38100</xdr:rowOff>
    </xdr:from>
    <xdr:ext cx="390525" cy="180975"/>
    <xdr:sp macro="" textlink="">
      <xdr:nvSpPr>
        <xdr:cNvPr id="27724" name="Text Box 76"/>
        <xdr:cNvSpPr txBox="1">
          <a:spLocks noChangeArrowheads="1"/>
        </xdr:cNvSpPr>
      </xdr:nvSpPr>
      <xdr:spPr bwMode="auto">
        <a:xfrm>
          <a:off x="4391025" y="5715000"/>
          <a:ext cx="3905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1" i="0" u="none" strike="noStrike" baseline="0">
              <a:solidFill>
                <a:srgbClr val="FF0000"/>
              </a:solidFill>
              <a:latin typeface="Arial"/>
              <a:cs typeface="Arial"/>
            </a:rPr>
            <a:t>Key In</a:t>
          </a:r>
        </a:p>
      </xdr:txBody>
    </xdr:sp>
    <xdr:clientData/>
  </xdr:oneCellAnchor>
  <xdr:oneCellAnchor>
    <xdr:from>
      <xdr:col>2</xdr:col>
      <xdr:colOff>76200</xdr:colOff>
      <xdr:row>30</xdr:row>
      <xdr:rowOff>9525</xdr:rowOff>
    </xdr:from>
    <xdr:ext cx="390525" cy="180975"/>
    <xdr:sp macro="" textlink="">
      <xdr:nvSpPr>
        <xdr:cNvPr id="27725" name="Text Box 77"/>
        <xdr:cNvSpPr txBox="1">
          <a:spLocks noChangeArrowheads="1"/>
        </xdr:cNvSpPr>
      </xdr:nvSpPr>
      <xdr:spPr bwMode="auto">
        <a:xfrm>
          <a:off x="1104900" y="5686425"/>
          <a:ext cx="3905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1" i="0" u="none" strike="noStrike" baseline="0">
              <a:solidFill>
                <a:srgbClr val="FF0000"/>
              </a:solidFill>
              <a:latin typeface="Arial"/>
              <a:cs typeface="Arial"/>
            </a:rPr>
            <a:t>Key In</a:t>
          </a:r>
        </a:p>
      </xdr:txBody>
    </xdr:sp>
    <xdr:clientData/>
  </xdr:oneCellAnchor>
  <xdr:oneCellAnchor>
    <xdr:from>
      <xdr:col>2</xdr:col>
      <xdr:colOff>76200</xdr:colOff>
      <xdr:row>32</xdr:row>
      <xdr:rowOff>9525</xdr:rowOff>
    </xdr:from>
    <xdr:ext cx="390525" cy="180975"/>
    <xdr:sp macro="" textlink="">
      <xdr:nvSpPr>
        <xdr:cNvPr id="27726" name="Text Box 78"/>
        <xdr:cNvSpPr txBox="1">
          <a:spLocks noChangeArrowheads="1"/>
        </xdr:cNvSpPr>
      </xdr:nvSpPr>
      <xdr:spPr bwMode="auto">
        <a:xfrm>
          <a:off x="1104900" y="6038850"/>
          <a:ext cx="3905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1" i="0" u="none" strike="noStrike" baseline="0">
              <a:solidFill>
                <a:srgbClr val="FF0000"/>
              </a:solidFill>
              <a:latin typeface="Arial"/>
              <a:cs typeface="Arial"/>
            </a:rPr>
            <a:t>Key In</a:t>
          </a:r>
        </a:p>
      </xdr:txBody>
    </xdr:sp>
    <xdr:clientData/>
  </xdr:oneCellAnchor>
  <xdr:oneCellAnchor>
    <xdr:from>
      <xdr:col>2</xdr:col>
      <xdr:colOff>76200</xdr:colOff>
      <xdr:row>34</xdr:row>
      <xdr:rowOff>0</xdr:rowOff>
    </xdr:from>
    <xdr:ext cx="390525" cy="180975"/>
    <xdr:sp macro="" textlink="">
      <xdr:nvSpPr>
        <xdr:cNvPr id="27727" name="Text Box 79"/>
        <xdr:cNvSpPr txBox="1">
          <a:spLocks noChangeArrowheads="1"/>
        </xdr:cNvSpPr>
      </xdr:nvSpPr>
      <xdr:spPr bwMode="auto">
        <a:xfrm>
          <a:off x="1104900" y="6372225"/>
          <a:ext cx="3905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1" i="0" u="none" strike="noStrike" baseline="0">
              <a:solidFill>
                <a:srgbClr val="FF0000"/>
              </a:solidFill>
              <a:latin typeface="Arial"/>
              <a:cs typeface="Arial"/>
            </a:rPr>
            <a:t>Key In</a:t>
          </a:r>
        </a:p>
      </xdr:txBody>
    </xdr:sp>
    <xdr:clientData/>
  </xdr:oneCellAnchor>
  <xdr:oneCellAnchor>
    <xdr:from>
      <xdr:col>2</xdr:col>
      <xdr:colOff>76200</xdr:colOff>
      <xdr:row>46</xdr:row>
      <xdr:rowOff>9525</xdr:rowOff>
    </xdr:from>
    <xdr:ext cx="390525" cy="180975"/>
    <xdr:sp macro="" textlink="">
      <xdr:nvSpPr>
        <xdr:cNvPr id="27728" name="Text Box 80"/>
        <xdr:cNvSpPr txBox="1">
          <a:spLocks noChangeArrowheads="1"/>
        </xdr:cNvSpPr>
      </xdr:nvSpPr>
      <xdr:spPr bwMode="auto">
        <a:xfrm>
          <a:off x="1104900" y="8429625"/>
          <a:ext cx="3905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1" i="0" u="none" strike="noStrike" baseline="0">
              <a:solidFill>
                <a:srgbClr val="FF0000"/>
              </a:solidFill>
              <a:latin typeface="Arial"/>
              <a:cs typeface="Arial"/>
            </a:rPr>
            <a:t>Key In</a:t>
          </a:r>
        </a:p>
      </xdr:txBody>
    </xdr:sp>
    <xdr:clientData/>
  </xdr:oneCellAnchor>
  <xdr:oneCellAnchor>
    <xdr:from>
      <xdr:col>2</xdr:col>
      <xdr:colOff>76200</xdr:colOff>
      <xdr:row>47</xdr:row>
      <xdr:rowOff>152400</xdr:rowOff>
    </xdr:from>
    <xdr:ext cx="390525" cy="180975"/>
    <xdr:sp macro="" textlink="">
      <xdr:nvSpPr>
        <xdr:cNvPr id="27729" name="Text Box 81"/>
        <xdr:cNvSpPr txBox="1">
          <a:spLocks noChangeArrowheads="1"/>
        </xdr:cNvSpPr>
      </xdr:nvSpPr>
      <xdr:spPr bwMode="auto">
        <a:xfrm>
          <a:off x="1104900" y="8753475"/>
          <a:ext cx="3905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1" i="0" u="none" strike="noStrike" baseline="0">
              <a:solidFill>
                <a:srgbClr val="FF0000"/>
              </a:solidFill>
              <a:latin typeface="Arial"/>
              <a:cs typeface="Arial"/>
            </a:rPr>
            <a:t>Key In</a:t>
          </a:r>
        </a:p>
      </xdr:txBody>
    </xdr:sp>
    <xdr:clientData/>
  </xdr:oneCellAnchor>
  <xdr:oneCellAnchor>
    <xdr:from>
      <xdr:col>7</xdr:col>
      <xdr:colOff>76200</xdr:colOff>
      <xdr:row>38</xdr:row>
      <xdr:rowOff>38100</xdr:rowOff>
    </xdr:from>
    <xdr:ext cx="390525" cy="180975"/>
    <xdr:sp macro="" textlink="">
      <xdr:nvSpPr>
        <xdr:cNvPr id="27730" name="Text Box 82"/>
        <xdr:cNvSpPr txBox="1">
          <a:spLocks noChangeArrowheads="1"/>
        </xdr:cNvSpPr>
      </xdr:nvSpPr>
      <xdr:spPr bwMode="auto">
        <a:xfrm>
          <a:off x="4391025" y="7105650"/>
          <a:ext cx="3905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1" i="0" u="none" strike="noStrike" baseline="0">
              <a:solidFill>
                <a:srgbClr val="FF0000"/>
              </a:solidFill>
              <a:latin typeface="Arial"/>
              <a:cs typeface="Arial"/>
            </a:rPr>
            <a:t>Key In</a:t>
          </a:r>
        </a:p>
      </xdr:txBody>
    </xdr:sp>
    <xdr:clientData/>
  </xdr:oneCellAnchor>
  <xdr:oneCellAnchor>
    <xdr:from>
      <xdr:col>2</xdr:col>
      <xdr:colOff>142875</xdr:colOff>
      <xdr:row>56</xdr:row>
      <xdr:rowOff>38100</xdr:rowOff>
    </xdr:from>
    <xdr:ext cx="390525" cy="180975"/>
    <xdr:sp macro="" textlink="">
      <xdr:nvSpPr>
        <xdr:cNvPr id="27731" name="Text Box 83"/>
        <xdr:cNvSpPr txBox="1">
          <a:spLocks noChangeArrowheads="1"/>
        </xdr:cNvSpPr>
      </xdr:nvSpPr>
      <xdr:spPr bwMode="auto">
        <a:xfrm>
          <a:off x="1171575" y="10153650"/>
          <a:ext cx="3905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1" i="0" u="none" strike="noStrike" baseline="0">
              <a:solidFill>
                <a:srgbClr val="FF0000"/>
              </a:solidFill>
              <a:latin typeface="Arial"/>
              <a:cs typeface="Arial"/>
            </a:rPr>
            <a:t>Key In</a:t>
          </a:r>
        </a:p>
      </xdr:txBody>
    </xdr:sp>
    <xdr:clientData/>
  </xdr:oneCellAnchor>
  <xdr:oneCellAnchor>
    <xdr:from>
      <xdr:col>2</xdr:col>
      <xdr:colOff>85725</xdr:colOff>
      <xdr:row>58</xdr:row>
      <xdr:rowOff>9525</xdr:rowOff>
    </xdr:from>
    <xdr:ext cx="390525" cy="180975"/>
    <xdr:sp macro="" textlink="">
      <xdr:nvSpPr>
        <xdr:cNvPr id="27732" name="Text Box 84"/>
        <xdr:cNvSpPr txBox="1">
          <a:spLocks noChangeArrowheads="1"/>
        </xdr:cNvSpPr>
      </xdr:nvSpPr>
      <xdr:spPr bwMode="auto">
        <a:xfrm>
          <a:off x="1114425" y="10477500"/>
          <a:ext cx="3905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1" i="0" u="none" strike="noStrike" baseline="0">
              <a:solidFill>
                <a:srgbClr val="FF0000"/>
              </a:solidFill>
              <a:latin typeface="Arial"/>
              <a:cs typeface="Arial"/>
            </a:rPr>
            <a:t>Key In</a:t>
          </a:r>
        </a:p>
      </xdr:txBody>
    </xdr:sp>
    <xdr:clientData/>
  </xdr:oneCellAnchor>
  <xdr:oneCellAnchor>
    <xdr:from>
      <xdr:col>2</xdr:col>
      <xdr:colOff>76200</xdr:colOff>
      <xdr:row>66</xdr:row>
      <xdr:rowOff>38100</xdr:rowOff>
    </xdr:from>
    <xdr:ext cx="390525" cy="180975"/>
    <xdr:sp macro="" textlink="">
      <xdr:nvSpPr>
        <xdr:cNvPr id="27733" name="Text Box 85"/>
        <xdr:cNvSpPr txBox="1">
          <a:spLocks noChangeArrowheads="1"/>
        </xdr:cNvSpPr>
      </xdr:nvSpPr>
      <xdr:spPr bwMode="auto">
        <a:xfrm>
          <a:off x="1104900" y="11849100"/>
          <a:ext cx="3905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1" i="0" u="none" strike="noStrike" baseline="0">
              <a:solidFill>
                <a:srgbClr val="FF0000"/>
              </a:solidFill>
              <a:latin typeface="Arial"/>
              <a:cs typeface="Arial"/>
            </a:rPr>
            <a:t>Key In</a:t>
          </a:r>
        </a:p>
      </xdr:txBody>
    </xdr:sp>
    <xdr:clientData/>
  </xdr:oneCellAnchor>
  <xdr:oneCellAnchor>
    <xdr:from>
      <xdr:col>2</xdr:col>
      <xdr:colOff>76200</xdr:colOff>
      <xdr:row>68</xdr:row>
      <xdr:rowOff>0</xdr:rowOff>
    </xdr:from>
    <xdr:ext cx="390525" cy="180975"/>
    <xdr:sp macro="" textlink="">
      <xdr:nvSpPr>
        <xdr:cNvPr id="27734" name="Text Box 86"/>
        <xdr:cNvSpPr txBox="1">
          <a:spLocks noChangeArrowheads="1"/>
        </xdr:cNvSpPr>
      </xdr:nvSpPr>
      <xdr:spPr bwMode="auto">
        <a:xfrm>
          <a:off x="1104900" y="12172950"/>
          <a:ext cx="3905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1" i="0" u="none" strike="noStrike" baseline="0">
              <a:solidFill>
                <a:srgbClr val="FF0000"/>
              </a:solidFill>
              <a:latin typeface="Arial"/>
              <a:cs typeface="Arial"/>
            </a:rPr>
            <a:t>Key In</a:t>
          </a:r>
        </a:p>
      </xdr:txBody>
    </xdr:sp>
    <xdr:clientData/>
  </xdr:oneCellAnchor>
  <xdr:oneCellAnchor>
    <xdr:from>
      <xdr:col>2</xdr:col>
      <xdr:colOff>104775</xdr:colOff>
      <xdr:row>78</xdr:row>
      <xdr:rowOff>9525</xdr:rowOff>
    </xdr:from>
    <xdr:ext cx="390525" cy="180975"/>
    <xdr:sp macro="" textlink="">
      <xdr:nvSpPr>
        <xdr:cNvPr id="27735" name="Text Box 87"/>
        <xdr:cNvSpPr txBox="1">
          <a:spLocks noChangeArrowheads="1"/>
        </xdr:cNvSpPr>
      </xdr:nvSpPr>
      <xdr:spPr bwMode="auto">
        <a:xfrm>
          <a:off x="1133475" y="13849350"/>
          <a:ext cx="3905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1" i="0" u="none" strike="noStrike" baseline="0">
              <a:solidFill>
                <a:srgbClr val="FF0000"/>
              </a:solidFill>
              <a:latin typeface="Arial"/>
              <a:cs typeface="Arial"/>
            </a:rPr>
            <a:t>Key In</a:t>
          </a:r>
        </a:p>
      </xdr:txBody>
    </xdr:sp>
    <xdr:clientData/>
  </xdr:oneCellAnchor>
  <xdr:oneCellAnchor>
    <xdr:from>
      <xdr:col>2</xdr:col>
      <xdr:colOff>76200</xdr:colOff>
      <xdr:row>80</xdr:row>
      <xdr:rowOff>0</xdr:rowOff>
    </xdr:from>
    <xdr:ext cx="390525" cy="180975"/>
    <xdr:sp macro="" textlink="">
      <xdr:nvSpPr>
        <xdr:cNvPr id="27736" name="Text Box 88"/>
        <xdr:cNvSpPr txBox="1">
          <a:spLocks noChangeArrowheads="1"/>
        </xdr:cNvSpPr>
      </xdr:nvSpPr>
      <xdr:spPr bwMode="auto">
        <a:xfrm>
          <a:off x="1104900" y="14192250"/>
          <a:ext cx="3905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1" i="0" u="none" strike="noStrike" baseline="0">
              <a:solidFill>
                <a:srgbClr val="FF0000"/>
              </a:solidFill>
              <a:latin typeface="Arial"/>
              <a:cs typeface="Arial"/>
            </a:rPr>
            <a:t>Key In</a:t>
          </a:r>
        </a:p>
      </xdr:txBody>
    </xdr:sp>
    <xdr:clientData/>
  </xdr:oneCellAnchor>
  <xdr:oneCellAnchor>
    <xdr:from>
      <xdr:col>2</xdr:col>
      <xdr:colOff>76200</xdr:colOff>
      <xdr:row>82</xdr:row>
      <xdr:rowOff>9525</xdr:rowOff>
    </xdr:from>
    <xdr:ext cx="390525" cy="180975"/>
    <xdr:sp macro="" textlink="">
      <xdr:nvSpPr>
        <xdr:cNvPr id="27737" name="Text Box 89"/>
        <xdr:cNvSpPr txBox="1">
          <a:spLocks noChangeArrowheads="1"/>
        </xdr:cNvSpPr>
      </xdr:nvSpPr>
      <xdr:spPr bwMode="auto">
        <a:xfrm>
          <a:off x="1104900" y="14544675"/>
          <a:ext cx="3905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1" i="0" u="none" strike="noStrike" baseline="0">
              <a:solidFill>
                <a:srgbClr val="FF0000"/>
              </a:solidFill>
              <a:latin typeface="Arial"/>
              <a:cs typeface="Arial"/>
            </a:rPr>
            <a:t>Key In</a:t>
          </a:r>
        </a:p>
      </xdr:txBody>
    </xdr:sp>
    <xdr:clientData/>
  </xdr:oneCellAnchor>
  <xdr:oneCellAnchor>
    <xdr:from>
      <xdr:col>7</xdr:col>
      <xdr:colOff>38100</xdr:colOff>
      <xdr:row>78</xdr:row>
      <xdr:rowOff>38100</xdr:rowOff>
    </xdr:from>
    <xdr:ext cx="390525" cy="180975"/>
    <xdr:sp macro="" textlink="">
      <xdr:nvSpPr>
        <xdr:cNvPr id="27738" name="Text Box 90"/>
        <xdr:cNvSpPr txBox="1">
          <a:spLocks noChangeArrowheads="1"/>
        </xdr:cNvSpPr>
      </xdr:nvSpPr>
      <xdr:spPr bwMode="auto">
        <a:xfrm>
          <a:off x="4352925" y="13877925"/>
          <a:ext cx="3905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1" i="0" u="none" strike="noStrike" baseline="0">
              <a:solidFill>
                <a:srgbClr val="FF0000"/>
              </a:solidFill>
              <a:latin typeface="Arial"/>
              <a:cs typeface="Arial"/>
            </a:rPr>
            <a:t>Key In</a:t>
          </a:r>
        </a:p>
      </xdr:txBody>
    </xdr:sp>
    <xdr:clientData/>
  </xdr:oneCellAnchor>
  <xdr:oneCellAnchor>
    <xdr:from>
      <xdr:col>2</xdr:col>
      <xdr:colOff>76200</xdr:colOff>
      <xdr:row>84</xdr:row>
      <xdr:rowOff>9525</xdr:rowOff>
    </xdr:from>
    <xdr:ext cx="390525" cy="180975"/>
    <xdr:sp macro="" textlink="">
      <xdr:nvSpPr>
        <xdr:cNvPr id="27739" name="Text Box 91"/>
        <xdr:cNvSpPr txBox="1">
          <a:spLocks noChangeArrowheads="1"/>
        </xdr:cNvSpPr>
      </xdr:nvSpPr>
      <xdr:spPr bwMode="auto">
        <a:xfrm>
          <a:off x="1104900" y="14887575"/>
          <a:ext cx="3905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1" i="0" u="none" strike="noStrike" baseline="0">
              <a:solidFill>
                <a:srgbClr val="FF0000"/>
              </a:solidFill>
              <a:latin typeface="Arial"/>
              <a:cs typeface="Arial"/>
            </a:rPr>
            <a:t>Key In</a:t>
          </a:r>
        </a:p>
      </xdr:txBody>
    </xdr:sp>
    <xdr:clientData/>
  </xdr:oneCellAnchor>
  <xdr:oneCellAnchor>
    <xdr:from>
      <xdr:col>7</xdr:col>
      <xdr:colOff>76200</xdr:colOff>
      <xdr:row>80</xdr:row>
      <xdr:rowOff>9525</xdr:rowOff>
    </xdr:from>
    <xdr:ext cx="390525" cy="180975"/>
    <xdr:sp macro="" textlink="">
      <xdr:nvSpPr>
        <xdr:cNvPr id="27740" name="Text Box 92"/>
        <xdr:cNvSpPr txBox="1">
          <a:spLocks noChangeArrowheads="1"/>
        </xdr:cNvSpPr>
      </xdr:nvSpPr>
      <xdr:spPr bwMode="auto">
        <a:xfrm>
          <a:off x="4391025" y="14201775"/>
          <a:ext cx="3905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1" i="0" u="none" strike="noStrike" baseline="0">
              <a:solidFill>
                <a:srgbClr val="FF0000"/>
              </a:solidFill>
              <a:latin typeface="Arial"/>
              <a:cs typeface="Arial"/>
            </a:rPr>
            <a:t>Key In</a:t>
          </a:r>
        </a:p>
      </xdr:txBody>
    </xdr:sp>
    <xdr:clientData/>
  </xdr:oneCellAnchor>
  <xdr:oneCellAnchor>
    <xdr:from>
      <xdr:col>7</xdr:col>
      <xdr:colOff>76200</xdr:colOff>
      <xdr:row>82</xdr:row>
      <xdr:rowOff>0</xdr:rowOff>
    </xdr:from>
    <xdr:ext cx="390525" cy="180975"/>
    <xdr:sp macro="" textlink="">
      <xdr:nvSpPr>
        <xdr:cNvPr id="27741" name="Text Box 93"/>
        <xdr:cNvSpPr txBox="1">
          <a:spLocks noChangeArrowheads="1"/>
        </xdr:cNvSpPr>
      </xdr:nvSpPr>
      <xdr:spPr bwMode="auto">
        <a:xfrm>
          <a:off x="4391025" y="14535150"/>
          <a:ext cx="3905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1" i="0" u="none" strike="noStrike" baseline="0">
              <a:solidFill>
                <a:srgbClr val="FF0000"/>
              </a:solidFill>
              <a:latin typeface="Arial"/>
              <a:cs typeface="Arial"/>
            </a:rPr>
            <a:t>Key In</a:t>
          </a:r>
        </a:p>
      </xdr:txBody>
    </xdr:sp>
    <xdr:clientData/>
  </xdr:oneCellAnchor>
  <xdr:oneCellAnchor>
    <xdr:from>
      <xdr:col>7</xdr:col>
      <xdr:colOff>76200</xdr:colOff>
      <xdr:row>84</xdr:row>
      <xdr:rowOff>0</xdr:rowOff>
    </xdr:from>
    <xdr:ext cx="390525" cy="180975"/>
    <xdr:sp macro="" textlink="">
      <xdr:nvSpPr>
        <xdr:cNvPr id="27742" name="Text Box 94"/>
        <xdr:cNvSpPr txBox="1">
          <a:spLocks noChangeArrowheads="1"/>
        </xdr:cNvSpPr>
      </xdr:nvSpPr>
      <xdr:spPr bwMode="auto">
        <a:xfrm>
          <a:off x="4391025" y="14878050"/>
          <a:ext cx="3905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1" i="0" u="none" strike="noStrike" baseline="0">
              <a:solidFill>
                <a:srgbClr val="FF0000"/>
              </a:solidFill>
              <a:latin typeface="Arial"/>
              <a:cs typeface="Arial"/>
            </a:rPr>
            <a:t>Key In</a:t>
          </a:r>
        </a:p>
      </xdr:txBody>
    </xdr:sp>
    <xdr:clientData/>
  </xdr:oneCellAnchor>
  <xdr:twoCellAnchor>
    <xdr:from>
      <xdr:col>12</xdr:col>
      <xdr:colOff>190500</xdr:colOff>
      <xdr:row>33</xdr:row>
      <xdr:rowOff>9525</xdr:rowOff>
    </xdr:from>
    <xdr:to>
      <xdr:col>12</xdr:col>
      <xdr:colOff>466725</xdr:colOff>
      <xdr:row>34</xdr:row>
      <xdr:rowOff>114300</xdr:rowOff>
    </xdr:to>
    <xdr:sp macro="" textlink="">
      <xdr:nvSpPr>
        <xdr:cNvPr id="27743" name="Oval 95"/>
        <xdr:cNvSpPr>
          <a:spLocks noChangeArrowheads="1"/>
        </xdr:cNvSpPr>
      </xdr:nvSpPr>
      <xdr:spPr bwMode="auto">
        <a:xfrm>
          <a:off x="5743575" y="6210300"/>
          <a:ext cx="276225" cy="27622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3810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</xdr:spPr>
    </xdr:sp>
    <xdr:clientData/>
  </xdr:twoCellAnchor>
  <xdr:twoCellAnchor>
    <xdr:from>
      <xdr:col>12</xdr:col>
      <xdr:colOff>190500</xdr:colOff>
      <xdr:row>40</xdr:row>
      <xdr:rowOff>76200</xdr:rowOff>
    </xdr:from>
    <xdr:to>
      <xdr:col>12</xdr:col>
      <xdr:colOff>466725</xdr:colOff>
      <xdr:row>42</xdr:row>
      <xdr:rowOff>28575</xdr:rowOff>
    </xdr:to>
    <xdr:sp macro="" textlink="">
      <xdr:nvSpPr>
        <xdr:cNvPr id="27744" name="Oval 96"/>
        <xdr:cNvSpPr>
          <a:spLocks noChangeArrowheads="1"/>
        </xdr:cNvSpPr>
      </xdr:nvSpPr>
      <xdr:spPr bwMode="auto">
        <a:xfrm>
          <a:off x="5743575" y="7496175"/>
          <a:ext cx="276225" cy="27622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3810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</xdr:spPr>
    </xdr:sp>
    <xdr:clientData/>
  </xdr:twoCellAnchor>
  <xdr:twoCellAnchor>
    <xdr:from>
      <xdr:col>4</xdr:col>
      <xdr:colOff>142875</xdr:colOff>
      <xdr:row>31</xdr:row>
      <xdr:rowOff>104775</xdr:rowOff>
    </xdr:from>
    <xdr:to>
      <xdr:col>4</xdr:col>
      <xdr:colOff>142875</xdr:colOff>
      <xdr:row>35</xdr:row>
      <xdr:rowOff>47625</xdr:rowOff>
    </xdr:to>
    <xdr:sp macro="" textlink="">
      <xdr:nvSpPr>
        <xdr:cNvPr id="27745" name="Line 97"/>
        <xdr:cNvSpPr>
          <a:spLocks noChangeShapeType="1"/>
        </xdr:cNvSpPr>
      </xdr:nvSpPr>
      <xdr:spPr bwMode="auto">
        <a:xfrm>
          <a:off x="2419350" y="5962650"/>
          <a:ext cx="0" cy="62865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190500</xdr:colOff>
      <xdr:row>31</xdr:row>
      <xdr:rowOff>133350</xdr:rowOff>
    </xdr:from>
    <xdr:to>
      <xdr:col>4</xdr:col>
      <xdr:colOff>190500</xdr:colOff>
      <xdr:row>35</xdr:row>
      <xdr:rowOff>47625</xdr:rowOff>
    </xdr:to>
    <xdr:sp macro="" textlink="">
      <xdr:nvSpPr>
        <xdr:cNvPr id="27746" name="Line 98"/>
        <xdr:cNvSpPr>
          <a:spLocks noChangeShapeType="1"/>
        </xdr:cNvSpPr>
      </xdr:nvSpPr>
      <xdr:spPr bwMode="auto">
        <a:xfrm>
          <a:off x="2466975" y="5991225"/>
          <a:ext cx="0" cy="60007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133350</xdr:colOff>
      <xdr:row>31</xdr:row>
      <xdr:rowOff>95250</xdr:rowOff>
    </xdr:from>
    <xdr:to>
      <xdr:col>4</xdr:col>
      <xdr:colOff>552450</xdr:colOff>
      <xdr:row>31</xdr:row>
      <xdr:rowOff>95250</xdr:rowOff>
    </xdr:to>
    <xdr:sp macro="" textlink="">
      <xdr:nvSpPr>
        <xdr:cNvPr id="27747" name="Line 99"/>
        <xdr:cNvSpPr>
          <a:spLocks noChangeShapeType="1"/>
        </xdr:cNvSpPr>
      </xdr:nvSpPr>
      <xdr:spPr bwMode="auto">
        <a:xfrm>
          <a:off x="2409825" y="5953125"/>
          <a:ext cx="419100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200025</xdr:colOff>
      <xdr:row>31</xdr:row>
      <xdr:rowOff>133350</xdr:rowOff>
    </xdr:from>
    <xdr:to>
      <xdr:col>4</xdr:col>
      <xdr:colOff>552450</xdr:colOff>
      <xdr:row>31</xdr:row>
      <xdr:rowOff>133350</xdr:rowOff>
    </xdr:to>
    <xdr:sp macro="" textlink="">
      <xdr:nvSpPr>
        <xdr:cNvPr id="27748" name="Line 100"/>
        <xdr:cNvSpPr>
          <a:spLocks noChangeShapeType="1"/>
        </xdr:cNvSpPr>
      </xdr:nvSpPr>
      <xdr:spPr bwMode="auto">
        <a:xfrm>
          <a:off x="2476500" y="5991225"/>
          <a:ext cx="35242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542925</xdr:colOff>
      <xdr:row>31</xdr:row>
      <xdr:rowOff>95250</xdr:rowOff>
    </xdr:from>
    <xdr:to>
      <xdr:col>4</xdr:col>
      <xdr:colOff>542925</xdr:colOff>
      <xdr:row>31</xdr:row>
      <xdr:rowOff>123825</xdr:rowOff>
    </xdr:to>
    <xdr:sp macro="" textlink="">
      <xdr:nvSpPr>
        <xdr:cNvPr id="27749" name="Line 101"/>
        <xdr:cNvSpPr>
          <a:spLocks noChangeShapeType="1"/>
        </xdr:cNvSpPr>
      </xdr:nvSpPr>
      <xdr:spPr bwMode="auto">
        <a:xfrm>
          <a:off x="2819400" y="5953125"/>
          <a:ext cx="0" cy="2857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152400</xdr:colOff>
      <xdr:row>35</xdr:row>
      <xdr:rowOff>38100</xdr:rowOff>
    </xdr:from>
    <xdr:to>
      <xdr:col>4</xdr:col>
      <xdr:colOff>180975</xdr:colOff>
      <xdr:row>35</xdr:row>
      <xdr:rowOff>38100</xdr:rowOff>
    </xdr:to>
    <xdr:sp macro="" textlink="">
      <xdr:nvSpPr>
        <xdr:cNvPr id="27750" name="Line 102"/>
        <xdr:cNvSpPr>
          <a:spLocks noChangeShapeType="1"/>
        </xdr:cNvSpPr>
      </xdr:nvSpPr>
      <xdr:spPr bwMode="auto">
        <a:xfrm>
          <a:off x="2428875" y="6581775"/>
          <a:ext cx="2857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304800</xdr:colOff>
      <xdr:row>79</xdr:row>
      <xdr:rowOff>66675</xdr:rowOff>
    </xdr:from>
    <xdr:to>
      <xdr:col>4</xdr:col>
      <xdr:colOff>561975</xdr:colOff>
      <xdr:row>79</xdr:row>
      <xdr:rowOff>66675</xdr:rowOff>
    </xdr:to>
    <xdr:sp macro="" textlink="">
      <xdr:nvSpPr>
        <xdr:cNvPr id="27751" name="Line 103"/>
        <xdr:cNvSpPr>
          <a:spLocks noChangeShapeType="1"/>
        </xdr:cNvSpPr>
      </xdr:nvSpPr>
      <xdr:spPr bwMode="auto">
        <a:xfrm>
          <a:off x="2581275" y="14087475"/>
          <a:ext cx="25717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295275</xdr:colOff>
      <xdr:row>79</xdr:row>
      <xdr:rowOff>57150</xdr:rowOff>
    </xdr:from>
    <xdr:to>
      <xdr:col>4</xdr:col>
      <xdr:colOff>295275</xdr:colOff>
      <xdr:row>81</xdr:row>
      <xdr:rowOff>85725</xdr:rowOff>
    </xdr:to>
    <xdr:sp macro="" textlink="">
      <xdr:nvSpPr>
        <xdr:cNvPr id="27752" name="Line 104"/>
        <xdr:cNvSpPr>
          <a:spLocks noChangeShapeType="1"/>
        </xdr:cNvSpPr>
      </xdr:nvSpPr>
      <xdr:spPr bwMode="auto">
        <a:xfrm>
          <a:off x="2571750" y="14077950"/>
          <a:ext cx="0" cy="37147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342900</xdr:colOff>
      <xdr:row>79</xdr:row>
      <xdr:rowOff>114300</xdr:rowOff>
    </xdr:from>
    <xdr:to>
      <xdr:col>4</xdr:col>
      <xdr:colOff>342900</xdr:colOff>
      <xdr:row>81</xdr:row>
      <xdr:rowOff>85725</xdr:rowOff>
    </xdr:to>
    <xdr:sp macro="" textlink="">
      <xdr:nvSpPr>
        <xdr:cNvPr id="27753" name="Line 105"/>
        <xdr:cNvSpPr>
          <a:spLocks noChangeShapeType="1"/>
        </xdr:cNvSpPr>
      </xdr:nvSpPr>
      <xdr:spPr bwMode="auto">
        <a:xfrm>
          <a:off x="2619375" y="14135100"/>
          <a:ext cx="0" cy="3143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333375</xdr:colOff>
      <xdr:row>79</xdr:row>
      <xdr:rowOff>104775</xdr:rowOff>
    </xdr:from>
    <xdr:to>
      <xdr:col>4</xdr:col>
      <xdr:colOff>561975</xdr:colOff>
      <xdr:row>79</xdr:row>
      <xdr:rowOff>104775</xdr:rowOff>
    </xdr:to>
    <xdr:sp macro="" textlink="">
      <xdr:nvSpPr>
        <xdr:cNvPr id="27754" name="Line 106"/>
        <xdr:cNvSpPr>
          <a:spLocks noChangeShapeType="1"/>
        </xdr:cNvSpPr>
      </xdr:nvSpPr>
      <xdr:spPr bwMode="auto">
        <a:xfrm>
          <a:off x="2609850" y="14125575"/>
          <a:ext cx="228600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295275</xdr:colOff>
      <xdr:row>81</xdr:row>
      <xdr:rowOff>76200</xdr:rowOff>
    </xdr:from>
    <xdr:to>
      <xdr:col>4</xdr:col>
      <xdr:colOff>342900</xdr:colOff>
      <xdr:row>81</xdr:row>
      <xdr:rowOff>76200</xdr:rowOff>
    </xdr:to>
    <xdr:sp macro="" textlink="">
      <xdr:nvSpPr>
        <xdr:cNvPr id="27755" name="Line 107"/>
        <xdr:cNvSpPr>
          <a:spLocks noChangeShapeType="1"/>
        </xdr:cNvSpPr>
      </xdr:nvSpPr>
      <xdr:spPr bwMode="auto">
        <a:xfrm>
          <a:off x="2571750" y="14439900"/>
          <a:ext cx="4762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552450</xdr:colOff>
      <xdr:row>79</xdr:row>
      <xdr:rowOff>57150</xdr:rowOff>
    </xdr:from>
    <xdr:to>
      <xdr:col>4</xdr:col>
      <xdr:colOff>561975</xdr:colOff>
      <xdr:row>79</xdr:row>
      <xdr:rowOff>114300</xdr:rowOff>
    </xdr:to>
    <xdr:sp macro="" textlink="">
      <xdr:nvSpPr>
        <xdr:cNvPr id="27756" name="Line 108"/>
        <xdr:cNvSpPr>
          <a:spLocks noChangeShapeType="1"/>
        </xdr:cNvSpPr>
      </xdr:nvSpPr>
      <xdr:spPr bwMode="auto">
        <a:xfrm>
          <a:off x="2828925" y="14077950"/>
          <a:ext cx="9525" cy="5715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257175</xdr:colOff>
      <xdr:row>79</xdr:row>
      <xdr:rowOff>66675</xdr:rowOff>
    </xdr:from>
    <xdr:to>
      <xdr:col>12</xdr:col>
      <xdr:colOff>666750</xdr:colOff>
      <xdr:row>79</xdr:row>
      <xdr:rowOff>104775</xdr:rowOff>
    </xdr:to>
    <xdr:sp macro="" textlink="">
      <xdr:nvSpPr>
        <xdr:cNvPr id="27757" name="Rectangle 109"/>
        <xdr:cNvSpPr>
          <a:spLocks noChangeArrowheads="1"/>
        </xdr:cNvSpPr>
      </xdr:nvSpPr>
      <xdr:spPr bwMode="auto">
        <a:xfrm>
          <a:off x="5810250" y="14087475"/>
          <a:ext cx="409575" cy="381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miter lim="800000"/>
          <a:headEnd/>
          <a:tailEnd/>
        </a:ln>
      </xdr:spPr>
    </xdr:sp>
    <xdr:clientData/>
  </xdr:twoCellAnchor>
  <xdr:twoCellAnchor>
    <xdr:from>
      <xdr:col>12</xdr:col>
      <xdr:colOff>447675</xdr:colOff>
      <xdr:row>79</xdr:row>
      <xdr:rowOff>133350</xdr:rowOff>
    </xdr:from>
    <xdr:to>
      <xdr:col>12</xdr:col>
      <xdr:colOff>485775</xdr:colOff>
      <xdr:row>82</xdr:row>
      <xdr:rowOff>85725</xdr:rowOff>
    </xdr:to>
    <xdr:sp macro="" textlink="">
      <xdr:nvSpPr>
        <xdr:cNvPr id="27758" name="Rectangle 110"/>
        <xdr:cNvSpPr>
          <a:spLocks noChangeArrowheads="1"/>
        </xdr:cNvSpPr>
      </xdr:nvSpPr>
      <xdr:spPr bwMode="auto">
        <a:xfrm>
          <a:off x="6000750" y="14154150"/>
          <a:ext cx="38100" cy="466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miter lim="800000"/>
          <a:headEnd/>
          <a:tailEnd/>
        </a:ln>
      </xdr:spPr>
    </xdr:sp>
    <xdr:clientData/>
  </xdr:twoCellAnchor>
  <xdr:oneCellAnchor>
    <xdr:from>
      <xdr:col>2</xdr:col>
      <xdr:colOff>123825</xdr:colOff>
      <xdr:row>94</xdr:row>
      <xdr:rowOff>38100</xdr:rowOff>
    </xdr:from>
    <xdr:ext cx="390525" cy="180975"/>
    <xdr:sp macro="" textlink="">
      <xdr:nvSpPr>
        <xdr:cNvPr id="27759" name="Text Box 111"/>
        <xdr:cNvSpPr txBox="1">
          <a:spLocks noChangeArrowheads="1"/>
        </xdr:cNvSpPr>
      </xdr:nvSpPr>
      <xdr:spPr bwMode="auto">
        <a:xfrm>
          <a:off x="1152525" y="16583025"/>
          <a:ext cx="3905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1" i="0" u="none" strike="noStrike" baseline="0">
              <a:solidFill>
                <a:srgbClr val="FF0000"/>
              </a:solidFill>
              <a:latin typeface="Arial"/>
              <a:cs typeface="Arial"/>
            </a:rPr>
            <a:t>Key In</a:t>
          </a:r>
        </a:p>
      </xdr:txBody>
    </xdr:sp>
    <xdr:clientData/>
  </xdr:oneCellAnchor>
  <xdr:oneCellAnchor>
    <xdr:from>
      <xdr:col>2</xdr:col>
      <xdr:colOff>123825</xdr:colOff>
      <xdr:row>96</xdr:row>
      <xdr:rowOff>38100</xdr:rowOff>
    </xdr:from>
    <xdr:ext cx="390525" cy="180975"/>
    <xdr:sp macro="" textlink="">
      <xdr:nvSpPr>
        <xdr:cNvPr id="27760" name="Text Box 112"/>
        <xdr:cNvSpPr txBox="1">
          <a:spLocks noChangeArrowheads="1"/>
        </xdr:cNvSpPr>
      </xdr:nvSpPr>
      <xdr:spPr bwMode="auto">
        <a:xfrm>
          <a:off x="1152525" y="16935450"/>
          <a:ext cx="3905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1" i="0" u="none" strike="noStrike" baseline="0">
              <a:solidFill>
                <a:srgbClr val="FF0000"/>
              </a:solidFill>
              <a:latin typeface="Arial"/>
              <a:cs typeface="Arial"/>
            </a:rPr>
            <a:t>Key In</a:t>
          </a:r>
        </a:p>
      </xdr:txBody>
    </xdr:sp>
    <xdr:clientData/>
  </xdr:oneCellAnchor>
  <xdr:twoCellAnchor>
    <xdr:from>
      <xdr:col>3</xdr:col>
      <xdr:colOff>295275</xdr:colOff>
      <xdr:row>95</xdr:row>
      <xdr:rowOff>9525</xdr:rowOff>
    </xdr:from>
    <xdr:to>
      <xdr:col>3</xdr:col>
      <xdr:colOff>295275</xdr:colOff>
      <xdr:row>98</xdr:row>
      <xdr:rowOff>104775</xdr:rowOff>
    </xdr:to>
    <xdr:sp macro="" textlink="">
      <xdr:nvSpPr>
        <xdr:cNvPr id="27761" name="Line 113"/>
        <xdr:cNvSpPr>
          <a:spLocks noChangeShapeType="1"/>
        </xdr:cNvSpPr>
      </xdr:nvSpPr>
      <xdr:spPr bwMode="auto">
        <a:xfrm>
          <a:off x="1962150" y="16735425"/>
          <a:ext cx="0" cy="609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600075</xdr:colOff>
      <xdr:row>98</xdr:row>
      <xdr:rowOff>142875</xdr:rowOff>
    </xdr:from>
    <xdr:to>
      <xdr:col>3</xdr:col>
      <xdr:colOff>285750</xdr:colOff>
      <xdr:row>98</xdr:row>
      <xdr:rowOff>142875</xdr:rowOff>
    </xdr:to>
    <xdr:sp macro="" textlink="">
      <xdr:nvSpPr>
        <xdr:cNvPr id="27762" name="Line 114"/>
        <xdr:cNvSpPr>
          <a:spLocks noChangeShapeType="1"/>
        </xdr:cNvSpPr>
      </xdr:nvSpPr>
      <xdr:spPr bwMode="auto">
        <a:xfrm>
          <a:off x="781050" y="17383125"/>
          <a:ext cx="117157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361950</xdr:colOff>
      <xdr:row>104</xdr:row>
      <xdr:rowOff>57150</xdr:rowOff>
    </xdr:from>
    <xdr:to>
      <xdr:col>3</xdr:col>
      <xdr:colOff>466725</xdr:colOff>
      <xdr:row>104</xdr:row>
      <xdr:rowOff>57150</xdr:rowOff>
    </xdr:to>
    <xdr:sp macro="" textlink="">
      <xdr:nvSpPr>
        <xdr:cNvPr id="27763" name="Line 115"/>
        <xdr:cNvSpPr>
          <a:spLocks noChangeShapeType="1"/>
        </xdr:cNvSpPr>
      </xdr:nvSpPr>
      <xdr:spPr bwMode="auto">
        <a:xfrm>
          <a:off x="542925" y="18288000"/>
          <a:ext cx="159067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276225</xdr:colOff>
      <xdr:row>98</xdr:row>
      <xdr:rowOff>142875</xdr:rowOff>
    </xdr:from>
    <xdr:to>
      <xdr:col>3</xdr:col>
      <xdr:colOff>476250</xdr:colOff>
      <xdr:row>104</xdr:row>
      <xdr:rowOff>57150</xdr:rowOff>
    </xdr:to>
    <xdr:sp macro="" textlink="">
      <xdr:nvSpPr>
        <xdr:cNvPr id="27764" name="Line 116"/>
        <xdr:cNvSpPr>
          <a:spLocks noChangeShapeType="1"/>
        </xdr:cNvSpPr>
      </xdr:nvSpPr>
      <xdr:spPr bwMode="auto">
        <a:xfrm>
          <a:off x="1943100" y="17383125"/>
          <a:ext cx="200025" cy="90487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180975</xdr:colOff>
      <xdr:row>98</xdr:row>
      <xdr:rowOff>142875</xdr:rowOff>
    </xdr:from>
    <xdr:to>
      <xdr:col>3</xdr:col>
      <xdr:colOff>390525</xdr:colOff>
      <xdr:row>104</xdr:row>
      <xdr:rowOff>57150</xdr:rowOff>
    </xdr:to>
    <xdr:sp macro="" textlink="">
      <xdr:nvSpPr>
        <xdr:cNvPr id="27765" name="Line 117"/>
        <xdr:cNvSpPr>
          <a:spLocks noChangeShapeType="1"/>
        </xdr:cNvSpPr>
      </xdr:nvSpPr>
      <xdr:spPr bwMode="auto">
        <a:xfrm>
          <a:off x="1847850" y="17383125"/>
          <a:ext cx="209550" cy="90487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371475</xdr:colOff>
      <xdr:row>98</xdr:row>
      <xdr:rowOff>142875</xdr:rowOff>
    </xdr:from>
    <xdr:to>
      <xdr:col>1</xdr:col>
      <xdr:colOff>590550</xdr:colOff>
      <xdr:row>104</xdr:row>
      <xdr:rowOff>47625</xdr:rowOff>
    </xdr:to>
    <xdr:sp macro="" textlink="">
      <xdr:nvSpPr>
        <xdr:cNvPr id="27766" name="Line 118"/>
        <xdr:cNvSpPr>
          <a:spLocks noChangeShapeType="1"/>
        </xdr:cNvSpPr>
      </xdr:nvSpPr>
      <xdr:spPr bwMode="auto">
        <a:xfrm flipH="1">
          <a:off x="552450" y="17383125"/>
          <a:ext cx="219075" cy="89535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457200</xdr:colOff>
      <xdr:row>98</xdr:row>
      <xdr:rowOff>142875</xdr:rowOff>
    </xdr:from>
    <xdr:to>
      <xdr:col>1</xdr:col>
      <xdr:colOff>685800</xdr:colOff>
      <xdr:row>104</xdr:row>
      <xdr:rowOff>57150</xdr:rowOff>
    </xdr:to>
    <xdr:sp macro="" textlink="">
      <xdr:nvSpPr>
        <xdr:cNvPr id="27767" name="Line 119"/>
        <xdr:cNvSpPr>
          <a:spLocks noChangeShapeType="1"/>
        </xdr:cNvSpPr>
      </xdr:nvSpPr>
      <xdr:spPr bwMode="auto">
        <a:xfrm flipH="1">
          <a:off x="638175" y="17383125"/>
          <a:ext cx="228600" cy="90487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180975</xdr:colOff>
      <xdr:row>97</xdr:row>
      <xdr:rowOff>0</xdr:rowOff>
    </xdr:from>
    <xdr:to>
      <xdr:col>3</xdr:col>
      <xdr:colOff>180975</xdr:colOff>
      <xdr:row>98</xdr:row>
      <xdr:rowOff>123825</xdr:rowOff>
    </xdr:to>
    <xdr:sp macro="" textlink="">
      <xdr:nvSpPr>
        <xdr:cNvPr id="27768" name="Line 120"/>
        <xdr:cNvSpPr>
          <a:spLocks noChangeShapeType="1"/>
        </xdr:cNvSpPr>
      </xdr:nvSpPr>
      <xdr:spPr bwMode="auto">
        <a:xfrm flipV="1">
          <a:off x="1847850" y="17068800"/>
          <a:ext cx="0" cy="2952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97</xdr:row>
      <xdr:rowOff>85725</xdr:rowOff>
    </xdr:from>
    <xdr:to>
      <xdr:col>3</xdr:col>
      <xdr:colOff>180975</xdr:colOff>
      <xdr:row>97</xdr:row>
      <xdr:rowOff>85725</xdr:rowOff>
    </xdr:to>
    <xdr:sp macro="" textlink="">
      <xdr:nvSpPr>
        <xdr:cNvPr id="27769" name="Line 121"/>
        <xdr:cNvSpPr>
          <a:spLocks noChangeShapeType="1"/>
        </xdr:cNvSpPr>
      </xdr:nvSpPr>
      <xdr:spPr bwMode="auto">
        <a:xfrm flipH="1">
          <a:off x="1676400" y="17154525"/>
          <a:ext cx="1714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695325</xdr:colOff>
      <xdr:row>96</xdr:row>
      <xdr:rowOff>161925</xdr:rowOff>
    </xdr:from>
    <xdr:to>
      <xdr:col>1</xdr:col>
      <xdr:colOff>695325</xdr:colOff>
      <xdr:row>98</xdr:row>
      <xdr:rowOff>114300</xdr:rowOff>
    </xdr:to>
    <xdr:sp macro="" textlink="">
      <xdr:nvSpPr>
        <xdr:cNvPr id="27770" name="Line 122"/>
        <xdr:cNvSpPr>
          <a:spLocks noChangeShapeType="1"/>
        </xdr:cNvSpPr>
      </xdr:nvSpPr>
      <xdr:spPr bwMode="auto">
        <a:xfrm flipV="1">
          <a:off x="876300" y="17059275"/>
          <a:ext cx="0" cy="2952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695325</xdr:colOff>
      <xdr:row>97</xdr:row>
      <xdr:rowOff>76200</xdr:rowOff>
    </xdr:from>
    <xdr:to>
      <xdr:col>2</xdr:col>
      <xdr:colOff>0</xdr:colOff>
      <xdr:row>97</xdr:row>
      <xdr:rowOff>76200</xdr:rowOff>
    </xdr:to>
    <xdr:sp macro="" textlink="">
      <xdr:nvSpPr>
        <xdr:cNvPr id="27771" name="Line 123"/>
        <xdr:cNvSpPr>
          <a:spLocks noChangeShapeType="1"/>
        </xdr:cNvSpPr>
      </xdr:nvSpPr>
      <xdr:spPr bwMode="auto">
        <a:xfrm flipH="1">
          <a:off x="876300" y="17145000"/>
          <a:ext cx="1524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590550</xdr:colOff>
      <xdr:row>95</xdr:row>
      <xdr:rowOff>28575</xdr:rowOff>
    </xdr:from>
    <xdr:to>
      <xdr:col>1</xdr:col>
      <xdr:colOff>590550</xdr:colOff>
      <xdr:row>98</xdr:row>
      <xdr:rowOff>123825</xdr:rowOff>
    </xdr:to>
    <xdr:sp macro="" textlink="">
      <xdr:nvSpPr>
        <xdr:cNvPr id="27772" name="Line 124"/>
        <xdr:cNvSpPr>
          <a:spLocks noChangeShapeType="1"/>
        </xdr:cNvSpPr>
      </xdr:nvSpPr>
      <xdr:spPr bwMode="auto">
        <a:xfrm>
          <a:off x="771525" y="16754475"/>
          <a:ext cx="0" cy="609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485775</xdr:colOff>
      <xdr:row>104</xdr:row>
      <xdr:rowOff>95250</xdr:rowOff>
    </xdr:from>
    <xdr:to>
      <xdr:col>3</xdr:col>
      <xdr:colOff>485775</xdr:colOff>
      <xdr:row>109</xdr:row>
      <xdr:rowOff>0</xdr:rowOff>
    </xdr:to>
    <xdr:sp macro="" textlink="">
      <xdr:nvSpPr>
        <xdr:cNvPr id="27773" name="Line 125"/>
        <xdr:cNvSpPr>
          <a:spLocks noChangeShapeType="1"/>
        </xdr:cNvSpPr>
      </xdr:nvSpPr>
      <xdr:spPr bwMode="auto">
        <a:xfrm>
          <a:off x="2152650" y="18326100"/>
          <a:ext cx="0" cy="7524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95</xdr:row>
      <xdr:rowOff>76200</xdr:rowOff>
    </xdr:from>
    <xdr:to>
      <xdr:col>3</xdr:col>
      <xdr:colOff>285750</xdr:colOff>
      <xdr:row>95</xdr:row>
      <xdr:rowOff>76200</xdr:rowOff>
    </xdr:to>
    <xdr:sp macro="" textlink="">
      <xdr:nvSpPr>
        <xdr:cNvPr id="27774" name="Line 126"/>
        <xdr:cNvSpPr>
          <a:spLocks noChangeShapeType="1"/>
        </xdr:cNvSpPr>
      </xdr:nvSpPr>
      <xdr:spPr bwMode="auto">
        <a:xfrm flipH="1">
          <a:off x="1676400" y="16802100"/>
          <a:ext cx="2762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590550</xdr:colOff>
      <xdr:row>95</xdr:row>
      <xdr:rowOff>76200</xdr:rowOff>
    </xdr:from>
    <xdr:to>
      <xdr:col>2</xdr:col>
      <xdr:colOff>0</xdr:colOff>
      <xdr:row>95</xdr:row>
      <xdr:rowOff>76200</xdr:rowOff>
    </xdr:to>
    <xdr:sp macro="" textlink="">
      <xdr:nvSpPr>
        <xdr:cNvPr id="27775" name="Line 127"/>
        <xdr:cNvSpPr>
          <a:spLocks noChangeShapeType="1"/>
        </xdr:cNvSpPr>
      </xdr:nvSpPr>
      <xdr:spPr bwMode="auto">
        <a:xfrm flipH="1">
          <a:off x="771525" y="16802100"/>
          <a:ext cx="2571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</xdr:col>
      <xdr:colOff>123825</xdr:colOff>
      <xdr:row>105</xdr:row>
      <xdr:rowOff>38100</xdr:rowOff>
    </xdr:from>
    <xdr:ext cx="390525" cy="180975"/>
    <xdr:sp macro="" textlink="">
      <xdr:nvSpPr>
        <xdr:cNvPr id="27776" name="Text Box 128"/>
        <xdr:cNvSpPr txBox="1">
          <a:spLocks noChangeArrowheads="1"/>
        </xdr:cNvSpPr>
      </xdr:nvSpPr>
      <xdr:spPr bwMode="auto">
        <a:xfrm>
          <a:off x="1152525" y="18430875"/>
          <a:ext cx="3905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1" i="0" u="none" strike="noStrike" baseline="0">
              <a:solidFill>
                <a:srgbClr val="FF0000"/>
              </a:solidFill>
              <a:latin typeface="Arial"/>
              <a:cs typeface="Arial"/>
            </a:rPr>
            <a:t>Key In</a:t>
          </a:r>
        </a:p>
      </xdr:txBody>
    </xdr:sp>
    <xdr:clientData/>
  </xdr:oneCellAnchor>
  <xdr:oneCellAnchor>
    <xdr:from>
      <xdr:col>2</xdr:col>
      <xdr:colOff>123825</xdr:colOff>
      <xdr:row>107</xdr:row>
      <xdr:rowOff>38100</xdr:rowOff>
    </xdr:from>
    <xdr:ext cx="390525" cy="180975"/>
    <xdr:sp macro="" textlink="">
      <xdr:nvSpPr>
        <xdr:cNvPr id="27777" name="Text Box 129"/>
        <xdr:cNvSpPr txBox="1">
          <a:spLocks noChangeArrowheads="1"/>
        </xdr:cNvSpPr>
      </xdr:nvSpPr>
      <xdr:spPr bwMode="auto">
        <a:xfrm>
          <a:off x="1152525" y="18773775"/>
          <a:ext cx="3905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1" i="0" u="none" strike="noStrike" baseline="0">
              <a:solidFill>
                <a:srgbClr val="FF0000"/>
              </a:solidFill>
              <a:latin typeface="Arial"/>
              <a:cs typeface="Arial"/>
            </a:rPr>
            <a:t>Key In</a:t>
          </a:r>
        </a:p>
      </xdr:txBody>
    </xdr:sp>
    <xdr:clientData/>
  </xdr:oneCellAnchor>
  <xdr:twoCellAnchor>
    <xdr:from>
      <xdr:col>3</xdr:col>
      <xdr:colOff>0</xdr:colOff>
      <xdr:row>108</xdr:row>
      <xdr:rowOff>85725</xdr:rowOff>
    </xdr:from>
    <xdr:to>
      <xdr:col>3</xdr:col>
      <xdr:colOff>476250</xdr:colOff>
      <xdr:row>108</xdr:row>
      <xdr:rowOff>85725</xdr:rowOff>
    </xdr:to>
    <xdr:sp macro="" textlink="">
      <xdr:nvSpPr>
        <xdr:cNvPr id="27778" name="Line 130"/>
        <xdr:cNvSpPr>
          <a:spLocks noChangeShapeType="1"/>
        </xdr:cNvSpPr>
      </xdr:nvSpPr>
      <xdr:spPr bwMode="auto">
        <a:xfrm flipH="1">
          <a:off x="1666875" y="18992850"/>
          <a:ext cx="4762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371475</xdr:colOff>
      <xdr:row>104</xdr:row>
      <xdr:rowOff>104775</xdr:rowOff>
    </xdr:from>
    <xdr:to>
      <xdr:col>1</xdr:col>
      <xdr:colOff>371475</xdr:colOff>
      <xdr:row>109</xdr:row>
      <xdr:rowOff>9525</xdr:rowOff>
    </xdr:to>
    <xdr:sp macro="" textlink="">
      <xdr:nvSpPr>
        <xdr:cNvPr id="27779" name="Line 131"/>
        <xdr:cNvSpPr>
          <a:spLocks noChangeShapeType="1"/>
        </xdr:cNvSpPr>
      </xdr:nvSpPr>
      <xdr:spPr bwMode="auto">
        <a:xfrm>
          <a:off x="552450" y="18335625"/>
          <a:ext cx="0" cy="7524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371475</xdr:colOff>
      <xdr:row>108</xdr:row>
      <xdr:rowOff>76200</xdr:rowOff>
    </xdr:from>
    <xdr:to>
      <xdr:col>2</xdr:col>
      <xdr:colOff>0</xdr:colOff>
      <xdr:row>108</xdr:row>
      <xdr:rowOff>76200</xdr:rowOff>
    </xdr:to>
    <xdr:sp macro="" textlink="">
      <xdr:nvSpPr>
        <xdr:cNvPr id="27780" name="Line 132"/>
        <xdr:cNvSpPr>
          <a:spLocks noChangeShapeType="1"/>
        </xdr:cNvSpPr>
      </xdr:nvSpPr>
      <xdr:spPr bwMode="auto">
        <a:xfrm flipH="1">
          <a:off x="552450" y="18983325"/>
          <a:ext cx="4762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381000</xdr:colOff>
      <xdr:row>104</xdr:row>
      <xdr:rowOff>95250</xdr:rowOff>
    </xdr:from>
    <xdr:to>
      <xdr:col>3</xdr:col>
      <xdr:colOff>381000</xdr:colOff>
      <xdr:row>106</xdr:row>
      <xdr:rowOff>152400</xdr:rowOff>
    </xdr:to>
    <xdr:sp macro="" textlink="">
      <xdr:nvSpPr>
        <xdr:cNvPr id="27781" name="Line 133"/>
        <xdr:cNvSpPr>
          <a:spLocks noChangeShapeType="1"/>
        </xdr:cNvSpPr>
      </xdr:nvSpPr>
      <xdr:spPr bwMode="auto">
        <a:xfrm>
          <a:off x="2047875" y="18326100"/>
          <a:ext cx="0" cy="390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466725</xdr:colOff>
      <xdr:row>104</xdr:row>
      <xdr:rowOff>104775</xdr:rowOff>
    </xdr:from>
    <xdr:to>
      <xdr:col>1</xdr:col>
      <xdr:colOff>466725</xdr:colOff>
      <xdr:row>106</xdr:row>
      <xdr:rowOff>161925</xdr:rowOff>
    </xdr:to>
    <xdr:sp macro="" textlink="">
      <xdr:nvSpPr>
        <xdr:cNvPr id="27782" name="Line 134"/>
        <xdr:cNvSpPr>
          <a:spLocks noChangeShapeType="1"/>
        </xdr:cNvSpPr>
      </xdr:nvSpPr>
      <xdr:spPr bwMode="auto">
        <a:xfrm>
          <a:off x="647700" y="18335625"/>
          <a:ext cx="0" cy="390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106</xdr:row>
      <xdr:rowOff>85725</xdr:rowOff>
    </xdr:from>
    <xdr:to>
      <xdr:col>3</xdr:col>
      <xdr:colOff>381000</xdr:colOff>
      <xdr:row>106</xdr:row>
      <xdr:rowOff>85725</xdr:rowOff>
    </xdr:to>
    <xdr:sp macro="" textlink="">
      <xdr:nvSpPr>
        <xdr:cNvPr id="27783" name="Line 135"/>
        <xdr:cNvSpPr>
          <a:spLocks noChangeShapeType="1"/>
        </xdr:cNvSpPr>
      </xdr:nvSpPr>
      <xdr:spPr bwMode="auto">
        <a:xfrm flipH="1">
          <a:off x="1676400" y="18649950"/>
          <a:ext cx="3714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106</xdr:row>
      <xdr:rowOff>85725</xdr:rowOff>
    </xdr:from>
    <xdr:to>
      <xdr:col>1</xdr:col>
      <xdr:colOff>838200</xdr:colOff>
      <xdr:row>106</xdr:row>
      <xdr:rowOff>85725</xdr:rowOff>
    </xdr:to>
    <xdr:sp macro="" textlink="">
      <xdr:nvSpPr>
        <xdr:cNvPr id="27784" name="Line 136"/>
        <xdr:cNvSpPr>
          <a:spLocks noChangeShapeType="1"/>
        </xdr:cNvSpPr>
      </xdr:nvSpPr>
      <xdr:spPr bwMode="auto">
        <a:xfrm flipH="1">
          <a:off x="657225" y="18649950"/>
          <a:ext cx="3619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342900</xdr:colOff>
      <xdr:row>98</xdr:row>
      <xdr:rowOff>142875</xdr:rowOff>
    </xdr:from>
    <xdr:to>
      <xdr:col>4</xdr:col>
      <xdr:colOff>428625</xdr:colOff>
      <xdr:row>98</xdr:row>
      <xdr:rowOff>142875</xdr:rowOff>
    </xdr:to>
    <xdr:sp macro="" textlink="">
      <xdr:nvSpPr>
        <xdr:cNvPr id="27785" name="Line 137"/>
        <xdr:cNvSpPr>
          <a:spLocks noChangeShapeType="1"/>
        </xdr:cNvSpPr>
      </xdr:nvSpPr>
      <xdr:spPr bwMode="auto">
        <a:xfrm>
          <a:off x="2009775" y="17383125"/>
          <a:ext cx="6953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523875</xdr:colOff>
      <xdr:row>104</xdr:row>
      <xdr:rowOff>66675</xdr:rowOff>
    </xdr:from>
    <xdr:to>
      <xdr:col>4</xdr:col>
      <xdr:colOff>457200</xdr:colOff>
      <xdr:row>104</xdr:row>
      <xdr:rowOff>66675</xdr:rowOff>
    </xdr:to>
    <xdr:sp macro="" textlink="">
      <xdr:nvSpPr>
        <xdr:cNvPr id="27786" name="Line 138"/>
        <xdr:cNvSpPr>
          <a:spLocks noChangeShapeType="1"/>
        </xdr:cNvSpPr>
      </xdr:nvSpPr>
      <xdr:spPr bwMode="auto">
        <a:xfrm>
          <a:off x="2190750" y="18297525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4</xdr:col>
      <xdr:colOff>219075</xdr:colOff>
      <xdr:row>100</xdr:row>
      <xdr:rowOff>9525</xdr:rowOff>
    </xdr:from>
    <xdr:ext cx="390525" cy="180975"/>
    <xdr:sp macro="" textlink="">
      <xdr:nvSpPr>
        <xdr:cNvPr id="27787" name="Text Box 139"/>
        <xdr:cNvSpPr txBox="1">
          <a:spLocks noChangeArrowheads="1"/>
        </xdr:cNvSpPr>
      </xdr:nvSpPr>
      <xdr:spPr bwMode="auto">
        <a:xfrm>
          <a:off x="2495550" y="17573625"/>
          <a:ext cx="3905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1" i="0" u="none" strike="noStrike" baseline="0">
              <a:solidFill>
                <a:srgbClr val="FF0000"/>
              </a:solidFill>
              <a:latin typeface="Arial"/>
              <a:cs typeface="Arial"/>
            </a:rPr>
            <a:t>Key In</a:t>
          </a:r>
        </a:p>
      </xdr:txBody>
    </xdr:sp>
    <xdr:clientData/>
  </xdr:oneCellAnchor>
  <xdr:twoCellAnchor>
    <xdr:from>
      <xdr:col>4</xdr:col>
      <xdr:colOff>381000</xdr:colOff>
      <xdr:row>103</xdr:row>
      <xdr:rowOff>9525</xdr:rowOff>
    </xdr:from>
    <xdr:to>
      <xdr:col>4</xdr:col>
      <xdr:colOff>381000</xdr:colOff>
      <xdr:row>104</xdr:row>
      <xdr:rowOff>76200</xdr:rowOff>
    </xdr:to>
    <xdr:sp macro="" textlink="">
      <xdr:nvSpPr>
        <xdr:cNvPr id="27788" name="Line 140"/>
        <xdr:cNvSpPr>
          <a:spLocks noChangeShapeType="1"/>
        </xdr:cNvSpPr>
      </xdr:nvSpPr>
      <xdr:spPr bwMode="auto">
        <a:xfrm flipV="1">
          <a:off x="2657475" y="18078450"/>
          <a:ext cx="0" cy="228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371475</xdr:colOff>
      <xdr:row>98</xdr:row>
      <xdr:rowOff>152400</xdr:rowOff>
    </xdr:from>
    <xdr:to>
      <xdr:col>4</xdr:col>
      <xdr:colOff>371475</xdr:colOff>
      <xdr:row>100</xdr:row>
      <xdr:rowOff>38100</xdr:rowOff>
    </xdr:to>
    <xdr:sp macro="" textlink="">
      <xdr:nvSpPr>
        <xdr:cNvPr id="27789" name="Line 141"/>
        <xdr:cNvSpPr>
          <a:spLocks noChangeShapeType="1"/>
        </xdr:cNvSpPr>
      </xdr:nvSpPr>
      <xdr:spPr bwMode="auto">
        <a:xfrm>
          <a:off x="2647950" y="17392650"/>
          <a:ext cx="0" cy="2095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7</xdr:col>
      <xdr:colOff>123825</xdr:colOff>
      <xdr:row>94</xdr:row>
      <xdr:rowOff>38100</xdr:rowOff>
    </xdr:from>
    <xdr:ext cx="390525" cy="180975"/>
    <xdr:sp macro="" textlink="">
      <xdr:nvSpPr>
        <xdr:cNvPr id="27852" name="Text Box 204"/>
        <xdr:cNvSpPr txBox="1">
          <a:spLocks noChangeArrowheads="1"/>
        </xdr:cNvSpPr>
      </xdr:nvSpPr>
      <xdr:spPr bwMode="auto">
        <a:xfrm>
          <a:off x="4438650" y="16583025"/>
          <a:ext cx="3905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1" i="0" u="none" strike="noStrike" baseline="0">
              <a:solidFill>
                <a:srgbClr val="FF0000"/>
              </a:solidFill>
              <a:latin typeface="Arial"/>
              <a:cs typeface="Arial"/>
            </a:rPr>
            <a:t>Key In</a:t>
          </a:r>
        </a:p>
      </xdr:txBody>
    </xdr:sp>
    <xdr:clientData/>
  </xdr:oneCellAnchor>
  <xdr:oneCellAnchor>
    <xdr:from>
      <xdr:col>7</xdr:col>
      <xdr:colOff>123825</xdr:colOff>
      <xdr:row>96</xdr:row>
      <xdr:rowOff>38100</xdr:rowOff>
    </xdr:from>
    <xdr:ext cx="390525" cy="180975"/>
    <xdr:sp macro="" textlink="">
      <xdr:nvSpPr>
        <xdr:cNvPr id="27853" name="Text Box 205"/>
        <xdr:cNvSpPr txBox="1">
          <a:spLocks noChangeArrowheads="1"/>
        </xdr:cNvSpPr>
      </xdr:nvSpPr>
      <xdr:spPr bwMode="auto">
        <a:xfrm>
          <a:off x="4438650" y="16935450"/>
          <a:ext cx="3905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1" i="0" u="none" strike="noStrike" baseline="0">
              <a:solidFill>
                <a:srgbClr val="FF0000"/>
              </a:solidFill>
              <a:latin typeface="Arial"/>
              <a:cs typeface="Arial"/>
            </a:rPr>
            <a:t>Key In</a:t>
          </a:r>
        </a:p>
      </xdr:txBody>
    </xdr:sp>
    <xdr:clientData/>
  </xdr:oneCellAnchor>
  <xdr:twoCellAnchor>
    <xdr:from>
      <xdr:col>6</xdr:col>
      <xdr:colOff>371475</xdr:colOff>
      <xdr:row>98</xdr:row>
      <xdr:rowOff>142875</xdr:rowOff>
    </xdr:from>
    <xdr:to>
      <xdr:col>11</xdr:col>
      <xdr:colOff>180975</xdr:colOff>
      <xdr:row>98</xdr:row>
      <xdr:rowOff>142875</xdr:rowOff>
    </xdr:to>
    <xdr:sp macro="" textlink="">
      <xdr:nvSpPr>
        <xdr:cNvPr id="27854" name="Line 206"/>
        <xdr:cNvSpPr>
          <a:spLocks noChangeShapeType="1"/>
        </xdr:cNvSpPr>
      </xdr:nvSpPr>
      <xdr:spPr bwMode="auto">
        <a:xfrm>
          <a:off x="4143375" y="17383125"/>
          <a:ext cx="98107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142875</xdr:colOff>
      <xdr:row>104</xdr:row>
      <xdr:rowOff>66675</xdr:rowOff>
    </xdr:from>
    <xdr:to>
      <xdr:col>11</xdr:col>
      <xdr:colOff>381000</xdr:colOff>
      <xdr:row>104</xdr:row>
      <xdr:rowOff>66675</xdr:rowOff>
    </xdr:to>
    <xdr:sp macro="" textlink="">
      <xdr:nvSpPr>
        <xdr:cNvPr id="27855" name="Line 207"/>
        <xdr:cNvSpPr>
          <a:spLocks noChangeShapeType="1"/>
        </xdr:cNvSpPr>
      </xdr:nvSpPr>
      <xdr:spPr bwMode="auto">
        <a:xfrm>
          <a:off x="3914775" y="18297525"/>
          <a:ext cx="1409700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7</xdr:col>
      <xdr:colOff>123825</xdr:colOff>
      <xdr:row>105</xdr:row>
      <xdr:rowOff>38100</xdr:rowOff>
    </xdr:from>
    <xdr:ext cx="390525" cy="180975"/>
    <xdr:sp macro="" textlink="">
      <xdr:nvSpPr>
        <xdr:cNvPr id="27856" name="Text Box 208"/>
        <xdr:cNvSpPr txBox="1">
          <a:spLocks noChangeArrowheads="1"/>
        </xdr:cNvSpPr>
      </xdr:nvSpPr>
      <xdr:spPr bwMode="auto">
        <a:xfrm>
          <a:off x="4438650" y="18430875"/>
          <a:ext cx="3905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1" i="0" u="none" strike="noStrike" baseline="0">
              <a:solidFill>
                <a:srgbClr val="FF0000"/>
              </a:solidFill>
              <a:latin typeface="Arial"/>
              <a:cs typeface="Arial"/>
            </a:rPr>
            <a:t>Key In</a:t>
          </a:r>
        </a:p>
      </xdr:txBody>
    </xdr:sp>
    <xdr:clientData/>
  </xdr:oneCellAnchor>
  <xdr:oneCellAnchor>
    <xdr:from>
      <xdr:col>7</xdr:col>
      <xdr:colOff>123825</xdr:colOff>
      <xdr:row>107</xdr:row>
      <xdr:rowOff>38100</xdr:rowOff>
    </xdr:from>
    <xdr:ext cx="390525" cy="180975"/>
    <xdr:sp macro="" textlink="">
      <xdr:nvSpPr>
        <xdr:cNvPr id="27857" name="Text Box 209"/>
        <xdr:cNvSpPr txBox="1">
          <a:spLocks noChangeArrowheads="1"/>
        </xdr:cNvSpPr>
      </xdr:nvSpPr>
      <xdr:spPr bwMode="auto">
        <a:xfrm>
          <a:off x="4438650" y="18773775"/>
          <a:ext cx="3905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1" i="0" u="none" strike="noStrike" baseline="0">
              <a:solidFill>
                <a:srgbClr val="FF0000"/>
              </a:solidFill>
              <a:latin typeface="Arial"/>
              <a:cs typeface="Arial"/>
            </a:rPr>
            <a:t>Key In</a:t>
          </a:r>
        </a:p>
      </xdr:txBody>
    </xdr:sp>
    <xdr:clientData/>
  </xdr:oneCellAnchor>
  <xdr:twoCellAnchor>
    <xdr:from>
      <xdr:col>6</xdr:col>
      <xdr:colOff>152400</xdr:colOff>
      <xdr:row>98</xdr:row>
      <xdr:rowOff>142875</xdr:rowOff>
    </xdr:from>
    <xdr:to>
      <xdr:col>6</xdr:col>
      <xdr:colOff>371475</xdr:colOff>
      <xdr:row>104</xdr:row>
      <xdr:rowOff>66675</xdr:rowOff>
    </xdr:to>
    <xdr:sp macro="" textlink="">
      <xdr:nvSpPr>
        <xdr:cNvPr id="27868" name="Line 220"/>
        <xdr:cNvSpPr>
          <a:spLocks noChangeShapeType="1"/>
        </xdr:cNvSpPr>
      </xdr:nvSpPr>
      <xdr:spPr bwMode="auto">
        <a:xfrm flipH="1">
          <a:off x="3924300" y="17383125"/>
          <a:ext cx="219075" cy="91440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438150</xdr:colOff>
      <xdr:row>97</xdr:row>
      <xdr:rowOff>9525</xdr:rowOff>
    </xdr:from>
    <xdr:to>
      <xdr:col>6</xdr:col>
      <xdr:colOff>438150</xdr:colOff>
      <xdr:row>98</xdr:row>
      <xdr:rowOff>133350</xdr:rowOff>
    </xdr:to>
    <xdr:sp macro="" textlink="">
      <xdr:nvSpPr>
        <xdr:cNvPr id="27870" name="Line 222"/>
        <xdr:cNvSpPr>
          <a:spLocks noChangeShapeType="1"/>
        </xdr:cNvSpPr>
      </xdr:nvSpPr>
      <xdr:spPr bwMode="auto">
        <a:xfrm flipV="1">
          <a:off x="4210050" y="17078325"/>
          <a:ext cx="0" cy="2952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352425</xdr:colOff>
      <xdr:row>95</xdr:row>
      <xdr:rowOff>85725</xdr:rowOff>
    </xdr:from>
    <xdr:to>
      <xdr:col>6</xdr:col>
      <xdr:colOff>533400</xdr:colOff>
      <xdr:row>95</xdr:row>
      <xdr:rowOff>85725</xdr:rowOff>
    </xdr:to>
    <xdr:sp macro="" textlink="">
      <xdr:nvSpPr>
        <xdr:cNvPr id="27871" name="Line 223"/>
        <xdr:cNvSpPr>
          <a:spLocks noChangeShapeType="1"/>
        </xdr:cNvSpPr>
      </xdr:nvSpPr>
      <xdr:spPr bwMode="auto">
        <a:xfrm flipH="1">
          <a:off x="4124325" y="16811625"/>
          <a:ext cx="1809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352425</xdr:colOff>
      <xdr:row>95</xdr:row>
      <xdr:rowOff>28575</xdr:rowOff>
    </xdr:from>
    <xdr:to>
      <xdr:col>6</xdr:col>
      <xdr:colOff>352425</xdr:colOff>
      <xdr:row>98</xdr:row>
      <xdr:rowOff>123825</xdr:rowOff>
    </xdr:to>
    <xdr:sp macro="" textlink="">
      <xdr:nvSpPr>
        <xdr:cNvPr id="27872" name="Line 224"/>
        <xdr:cNvSpPr>
          <a:spLocks noChangeShapeType="1"/>
        </xdr:cNvSpPr>
      </xdr:nvSpPr>
      <xdr:spPr bwMode="auto">
        <a:xfrm>
          <a:off x="4124325" y="16754475"/>
          <a:ext cx="0" cy="609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438150</xdr:colOff>
      <xdr:row>97</xdr:row>
      <xdr:rowOff>85725</xdr:rowOff>
    </xdr:from>
    <xdr:to>
      <xdr:col>6</xdr:col>
      <xdr:colOff>457200</xdr:colOff>
      <xdr:row>97</xdr:row>
      <xdr:rowOff>85725</xdr:rowOff>
    </xdr:to>
    <xdr:sp macro="" textlink="">
      <xdr:nvSpPr>
        <xdr:cNvPr id="27873" name="Line 225"/>
        <xdr:cNvSpPr>
          <a:spLocks noChangeShapeType="1"/>
        </xdr:cNvSpPr>
      </xdr:nvSpPr>
      <xdr:spPr bwMode="auto">
        <a:xfrm flipH="1">
          <a:off x="4210050" y="17154525"/>
          <a:ext cx="190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133350</xdr:colOff>
      <xdr:row>104</xdr:row>
      <xdr:rowOff>95250</xdr:rowOff>
    </xdr:from>
    <xdr:to>
      <xdr:col>6</xdr:col>
      <xdr:colOff>133350</xdr:colOff>
      <xdr:row>109</xdr:row>
      <xdr:rowOff>0</xdr:rowOff>
    </xdr:to>
    <xdr:sp macro="" textlink="">
      <xdr:nvSpPr>
        <xdr:cNvPr id="27874" name="Line 226"/>
        <xdr:cNvSpPr>
          <a:spLocks noChangeShapeType="1"/>
        </xdr:cNvSpPr>
      </xdr:nvSpPr>
      <xdr:spPr bwMode="auto">
        <a:xfrm>
          <a:off x="3905250" y="18326100"/>
          <a:ext cx="0" cy="7524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142875</xdr:colOff>
      <xdr:row>108</xdr:row>
      <xdr:rowOff>85725</xdr:rowOff>
    </xdr:from>
    <xdr:to>
      <xdr:col>6</xdr:col>
      <xdr:colOff>533400</xdr:colOff>
      <xdr:row>108</xdr:row>
      <xdr:rowOff>85725</xdr:rowOff>
    </xdr:to>
    <xdr:sp macro="" textlink="">
      <xdr:nvSpPr>
        <xdr:cNvPr id="27875" name="Line 227"/>
        <xdr:cNvSpPr>
          <a:spLocks noChangeShapeType="1"/>
        </xdr:cNvSpPr>
      </xdr:nvSpPr>
      <xdr:spPr bwMode="auto">
        <a:xfrm flipH="1">
          <a:off x="3914775" y="18992850"/>
          <a:ext cx="3905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200025</xdr:colOff>
      <xdr:row>104</xdr:row>
      <xdr:rowOff>95250</xdr:rowOff>
    </xdr:from>
    <xdr:to>
      <xdr:col>6</xdr:col>
      <xdr:colOff>200025</xdr:colOff>
      <xdr:row>106</xdr:row>
      <xdr:rowOff>152400</xdr:rowOff>
    </xdr:to>
    <xdr:sp macro="" textlink="">
      <xdr:nvSpPr>
        <xdr:cNvPr id="27876" name="Line 228"/>
        <xdr:cNvSpPr>
          <a:spLocks noChangeShapeType="1"/>
        </xdr:cNvSpPr>
      </xdr:nvSpPr>
      <xdr:spPr bwMode="auto">
        <a:xfrm>
          <a:off x="3971925" y="18326100"/>
          <a:ext cx="0" cy="390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200025</xdr:colOff>
      <xdr:row>106</xdr:row>
      <xdr:rowOff>66675</xdr:rowOff>
    </xdr:from>
    <xdr:to>
      <xdr:col>6</xdr:col>
      <xdr:colOff>523875</xdr:colOff>
      <xdr:row>106</xdr:row>
      <xdr:rowOff>66675</xdr:rowOff>
    </xdr:to>
    <xdr:sp macro="" textlink="">
      <xdr:nvSpPr>
        <xdr:cNvPr id="27877" name="Line 229"/>
        <xdr:cNvSpPr>
          <a:spLocks noChangeShapeType="1"/>
        </xdr:cNvSpPr>
      </xdr:nvSpPr>
      <xdr:spPr bwMode="auto">
        <a:xfrm flipH="1">
          <a:off x="3971925" y="18630900"/>
          <a:ext cx="3238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209550</xdr:colOff>
      <xdr:row>98</xdr:row>
      <xdr:rowOff>152400</xdr:rowOff>
    </xdr:from>
    <xdr:to>
      <xdr:col>6</xdr:col>
      <xdr:colOff>428625</xdr:colOff>
      <xdr:row>104</xdr:row>
      <xdr:rowOff>76200</xdr:rowOff>
    </xdr:to>
    <xdr:sp macro="" textlink="">
      <xdr:nvSpPr>
        <xdr:cNvPr id="27878" name="Line 230"/>
        <xdr:cNvSpPr>
          <a:spLocks noChangeShapeType="1"/>
        </xdr:cNvSpPr>
      </xdr:nvSpPr>
      <xdr:spPr bwMode="auto">
        <a:xfrm flipH="1">
          <a:off x="3981450" y="17392650"/>
          <a:ext cx="219075" cy="91440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200025</xdr:colOff>
      <xdr:row>95</xdr:row>
      <xdr:rowOff>38100</xdr:rowOff>
    </xdr:from>
    <xdr:to>
      <xdr:col>11</xdr:col>
      <xdr:colOff>200025</xdr:colOff>
      <xdr:row>98</xdr:row>
      <xdr:rowOff>133350</xdr:rowOff>
    </xdr:to>
    <xdr:sp macro="" textlink="">
      <xdr:nvSpPr>
        <xdr:cNvPr id="27879" name="Line 231"/>
        <xdr:cNvSpPr>
          <a:spLocks noChangeShapeType="1"/>
        </xdr:cNvSpPr>
      </xdr:nvSpPr>
      <xdr:spPr bwMode="auto">
        <a:xfrm>
          <a:off x="5143500" y="16764000"/>
          <a:ext cx="0" cy="609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9525</xdr:colOff>
      <xdr:row>95</xdr:row>
      <xdr:rowOff>76200</xdr:rowOff>
    </xdr:from>
    <xdr:to>
      <xdr:col>11</xdr:col>
      <xdr:colOff>190500</xdr:colOff>
      <xdr:row>95</xdr:row>
      <xdr:rowOff>76200</xdr:rowOff>
    </xdr:to>
    <xdr:sp macro="" textlink="">
      <xdr:nvSpPr>
        <xdr:cNvPr id="27880" name="Line 232"/>
        <xdr:cNvSpPr>
          <a:spLocks noChangeShapeType="1"/>
        </xdr:cNvSpPr>
      </xdr:nvSpPr>
      <xdr:spPr bwMode="auto">
        <a:xfrm flipH="1">
          <a:off x="4953000" y="16802100"/>
          <a:ext cx="1809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76200</xdr:colOff>
      <xdr:row>97</xdr:row>
      <xdr:rowOff>76200</xdr:rowOff>
    </xdr:from>
    <xdr:to>
      <xdr:col>11</xdr:col>
      <xdr:colOff>95250</xdr:colOff>
      <xdr:row>97</xdr:row>
      <xdr:rowOff>76200</xdr:rowOff>
    </xdr:to>
    <xdr:sp macro="" textlink="">
      <xdr:nvSpPr>
        <xdr:cNvPr id="27881" name="Line 233"/>
        <xdr:cNvSpPr>
          <a:spLocks noChangeShapeType="1"/>
        </xdr:cNvSpPr>
      </xdr:nvSpPr>
      <xdr:spPr bwMode="auto">
        <a:xfrm flipH="1">
          <a:off x="5019675" y="17145000"/>
          <a:ext cx="190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114300</xdr:colOff>
      <xdr:row>97</xdr:row>
      <xdr:rowOff>28575</xdr:rowOff>
    </xdr:from>
    <xdr:to>
      <xdr:col>11</xdr:col>
      <xdr:colOff>114300</xdr:colOff>
      <xdr:row>98</xdr:row>
      <xdr:rowOff>152400</xdr:rowOff>
    </xdr:to>
    <xdr:sp macro="" textlink="">
      <xdr:nvSpPr>
        <xdr:cNvPr id="27882" name="Line 234"/>
        <xdr:cNvSpPr>
          <a:spLocks noChangeShapeType="1"/>
        </xdr:cNvSpPr>
      </xdr:nvSpPr>
      <xdr:spPr bwMode="auto">
        <a:xfrm flipV="1">
          <a:off x="5057775" y="17097375"/>
          <a:ext cx="0" cy="2952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104775</xdr:colOff>
      <xdr:row>98</xdr:row>
      <xdr:rowOff>142875</xdr:rowOff>
    </xdr:from>
    <xdr:to>
      <xdr:col>11</xdr:col>
      <xdr:colOff>323850</xdr:colOff>
      <xdr:row>104</xdr:row>
      <xdr:rowOff>76200</xdr:rowOff>
    </xdr:to>
    <xdr:sp macro="" textlink="">
      <xdr:nvSpPr>
        <xdr:cNvPr id="27883" name="Line 235"/>
        <xdr:cNvSpPr>
          <a:spLocks noChangeShapeType="1"/>
        </xdr:cNvSpPr>
      </xdr:nvSpPr>
      <xdr:spPr bwMode="auto">
        <a:xfrm>
          <a:off x="5048250" y="17383125"/>
          <a:ext cx="219075" cy="9239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180975</xdr:colOff>
      <xdr:row>98</xdr:row>
      <xdr:rowOff>142875</xdr:rowOff>
    </xdr:from>
    <xdr:to>
      <xdr:col>11</xdr:col>
      <xdr:colOff>400050</xdr:colOff>
      <xdr:row>104</xdr:row>
      <xdr:rowOff>76200</xdr:rowOff>
    </xdr:to>
    <xdr:sp macro="" textlink="">
      <xdr:nvSpPr>
        <xdr:cNvPr id="27884" name="Line 236"/>
        <xdr:cNvSpPr>
          <a:spLocks noChangeShapeType="1"/>
        </xdr:cNvSpPr>
      </xdr:nvSpPr>
      <xdr:spPr bwMode="auto">
        <a:xfrm>
          <a:off x="5124450" y="17383125"/>
          <a:ext cx="219075" cy="9239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314325</xdr:colOff>
      <xdr:row>104</xdr:row>
      <xdr:rowOff>95250</xdr:rowOff>
    </xdr:from>
    <xdr:to>
      <xdr:col>11</xdr:col>
      <xdr:colOff>314325</xdr:colOff>
      <xdr:row>106</xdr:row>
      <xdr:rowOff>152400</xdr:rowOff>
    </xdr:to>
    <xdr:sp macro="" textlink="">
      <xdr:nvSpPr>
        <xdr:cNvPr id="27885" name="Line 237"/>
        <xdr:cNvSpPr>
          <a:spLocks noChangeShapeType="1"/>
        </xdr:cNvSpPr>
      </xdr:nvSpPr>
      <xdr:spPr bwMode="auto">
        <a:xfrm>
          <a:off x="5257800" y="18326100"/>
          <a:ext cx="0" cy="390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106</xdr:row>
      <xdr:rowOff>76200</xdr:rowOff>
    </xdr:from>
    <xdr:to>
      <xdr:col>11</xdr:col>
      <xdr:colOff>314325</xdr:colOff>
      <xdr:row>106</xdr:row>
      <xdr:rowOff>76200</xdr:rowOff>
    </xdr:to>
    <xdr:sp macro="" textlink="">
      <xdr:nvSpPr>
        <xdr:cNvPr id="27886" name="Line 238"/>
        <xdr:cNvSpPr>
          <a:spLocks noChangeShapeType="1"/>
        </xdr:cNvSpPr>
      </xdr:nvSpPr>
      <xdr:spPr bwMode="auto">
        <a:xfrm flipH="1">
          <a:off x="4933950" y="18640425"/>
          <a:ext cx="3238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400050</xdr:colOff>
      <xdr:row>104</xdr:row>
      <xdr:rowOff>95250</xdr:rowOff>
    </xdr:from>
    <xdr:to>
      <xdr:col>11</xdr:col>
      <xdr:colOff>400050</xdr:colOff>
      <xdr:row>109</xdr:row>
      <xdr:rowOff>0</xdr:rowOff>
    </xdr:to>
    <xdr:sp macro="" textlink="">
      <xdr:nvSpPr>
        <xdr:cNvPr id="27887" name="Line 239"/>
        <xdr:cNvSpPr>
          <a:spLocks noChangeShapeType="1"/>
        </xdr:cNvSpPr>
      </xdr:nvSpPr>
      <xdr:spPr bwMode="auto">
        <a:xfrm>
          <a:off x="5343525" y="18326100"/>
          <a:ext cx="0" cy="7524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9525</xdr:colOff>
      <xdr:row>108</xdr:row>
      <xdr:rowOff>76200</xdr:rowOff>
    </xdr:from>
    <xdr:to>
      <xdr:col>11</xdr:col>
      <xdr:colOff>400050</xdr:colOff>
      <xdr:row>108</xdr:row>
      <xdr:rowOff>76200</xdr:rowOff>
    </xdr:to>
    <xdr:sp macro="" textlink="">
      <xdr:nvSpPr>
        <xdr:cNvPr id="27888" name="Line 240"/>
        <xdr:cNvSpPr>
          <a:spLocks noChangeShapeType="1"/>
        </xdr:cNvSpPr>
      </xdr:nvSpPr>
      <xdr:spPr bwMode="auto">
        <a:xfrm flipH="1">
          <a:off x="4953000" y="18983325"/>
          <a:ext cx="3905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12</xdr:col>
      <xdr:colOff>219075</xdr:colOff>
      <xdr:row>100</xdr:row>
      <xdr:rowOff>9525</xdr:rowOff>
    </xdr:from>
    <xdr:ext cx="390525" cy="180975"/>
    <xdr:sp macro="" textlink="">
      <xdr:nvSpPr>
        <xdr:cNvPr id="27889" name="Text Box 241"/>
        <xdr:cNvSpPr txBox="1">
          <a:spLocks noChangeArrowheads="1"/>
        </xdr:cNvSpPr>
      </xdr:nvSpPr>
      <xdr:spPr bwMode="auto">
        <a:xfrm>
          <a:off x="5772150" y="17573625"/>
          <a:ext cx="3905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1" i="0" u="none" strike="noStrike" baseline="0">
              <a:solidFill>
                <a:srgbClr val="FF0000"/>
              </a:solidFill>
              <a:latin typeface="Arial"/>
              <a:cs typeface="Arial"/>
            </a:rPr>
            <a:t>Key In</a:t>
          </a:r>
        </a:p>
      </xdr:txBody>
    </xdr:sp>
    <xdr:clientData/>
  </xdr:oneCellAnchor>
  <xdr:twoCellAnchor>
    <xdr:from>
      <xdr:col>12</xdr:col>
      <xdr:colOff>381000</xdr:colOff>
      <xdr:row>103</xdr:row>
      <xdr:rowOff>9525</xdr:rowOff>
    </xdr:from>
    <xdr:to>
      <xdr:col>12</xdr:col>
      <xdr:colOff>381000</xdr:colOff>
      <xdr:row>104</xdr:row>
      <xdr:rowOff>76200</xdr:rowOff>
    </xdr:to>
    <xdr:sp macro="" textlink="">
      <xdr:nvSpPr>
        <xdr:cNvPr id="27890" name="Line 242"/>
        <xdr:cNvSpPr>
          <a:spLocks noChangeShapeType="1"/>
        </xdr:cNvSpPr>
      </xdr:nvSpPr>
      <xdr:spPr bwMode="auto">
        <a:xfrm flipV="1">
          <a:off x="5934075" y="18078450"/>
          <a:ext cx="0" cy="228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371475</xdr:colOff>
      <xdr:row>98</xdr:row>
      <xdr:rowOff>152400</xdr:rowOff>
    </xdr:from>
    <xdr:to>
      <xdr:col>12</xdr:col>
      <xdr:colOff>371475</xdr:colOff>
      <xdr:row>100</xdr:row>
      <xdr:rowOff>38100</xdr:rowOff>
    </xdr:to>
    <xdr:sp macro="" textlink="">
      <xdr:nvSpPr>
        <xdr:cNvPr id="27891" name="Line 243"/>
        <xdr:cNvSpPr>
          <a:spLocks noChangeShapeType="1"/>
        </xdr:cNvSpPr>
      </xdr:nvSpPr>
      <xdr:spPr bwMode="auto">
        <a:xfrm>
          <a:off x="5924550" y="17392650"/>
          <a:ext cx="0" cy="2095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304800</xdr:colOff>
      <xdr:row>98</xdr:row>
      <xdr:rowOff>142875</xdr:rowOff>
    </xdr:from>
    <xdr:to>
      <xdr:col>12</xdr:col>
      <xdr:colOff>428625</xdr:colOff>
      <xdr:row>98</xdr:row>
      <xdr:rowOff>142875</xdr:rowOff>
    </xdr:to>
    <xdr:sp macro="" textlink="">
      <xdr:nvSpPr>
        <xdr:cNvPr id="27892" name="Line 244"/>
        <xdr:cNvSpPr>
          <a:spLocks noChangeShapeType="1"/>
        </xdr:cNvSpPr>
      </xdr:nvSpPr>
      <xdr:spPr bwMode="auto">
        <a:xfrm>
          <a:off x="5248275" y="17383125"/>
          <a:ext cx="7334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476250</xdr:colOff>
      <xdr:row>104</xdr:row>
      <xdr:rowOff>66675</xdr:rowOff>
    </xdr:from>
    <xdr:to>
      <xdr:col>12</xdr:col>
      <xdr:colOff>457200</xdr:colOff>
      <xdr:row>104</xdr:row>
      <xdr:rowOff>66675</xdr:rowOff>
    </xdr:to>
    <xdr:sp macro="" textlink="">
      <xdr:nvSpPr>
        <xdr:cNvPr id="27893" name="Line 245"/>
        <xdr:cNvSpPr>
          <a:spLocks noChangeShapeType="1"/>
        </xdr:cNvSpPr>
      </xdr:nvSpPr>
      <xdr:spPr bwMode="auto">
        <a:xfrm>
          <a:off x="5419725" y="18297525"/>
          <a:ext cx="5905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295275</xdr:colOff>
      <xdr:row>98</xdr:row>
      <xdr:rowOff>47625</xdr:rowOff>
    </xdr:from>
    <xdr:to>
      <xdr:col>2</xdr:col>
      <xdr:colOff>295275</xdr:colOff>
      <xdr:row>105</xdr:row>
      <xdr:rowOff>0</xdr:rowOff>
    </xdr:to>
    <xdr:sp macro="" textlink="">
      <xdr:nvSpPr>
        <xdr:cNvPr id="27894" name="Line 246"/>
        <xdr:cNvSpPr>
          <a:spLocks noChangeShapeType="1"/>
        </xdr:cNvSpPr>
      </xdr:nvSpPr>
      <xdr:spPr bwMode="auto">
        <a:xfrm flipV="1">
          <a:off x="1323975" y="17287875"/>
          <a:ext cx="0" cy="110490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314325</xdr:colOff>
      <xdr:row>98</xdr:row>
      <xdr:rowOff>38100</xdr:rowOff>
    </xdr:from>
    <xdr:to>
      <xdr:col>7</xdr:col>
      <xdr:colOff>314325</xdr:colOff>
      <xdr:row>104</xdr:row>
      <xdr:rowOff>152400</xdr:rowOff>
    </xdr:to>
    <xdr:sp macro="" textlink="">
      <xdr:nvSpPr>
        <xdr:cNvPr id="27895" name="Line 247"/>
        <xdr:cNvSpPr>
          <a:spLocks noChangeShapeType="1"/>
        </xdr:cNvSpPr>
      </xdr:nvSpPr>
      <xdr:spPr bwMode="auto">
        <a:xfrm flipV="1">
          <a:off x="4629150" y="17278350"/>
          <a:ext cx="0" cy="110490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200025</xdr:colOff>
      <xdr:row>97</xdr:row>
      <xdr:rowOff>85725</xdr:rowOff>
    </xdr:from>
    <xdr:to>
      <xdr:col>11</xdr:col>
      <xdr:colOff>542925</xdr:colOff>
      <xdr:row>97</xdr:row>
      <xdr:rowOff>85725</xdr:rowOff>
    </xdr:to>
    <xdr:sp macro="" textlink="">
      <xdr:nvSpPr>
        <xdr:cNvPr id="27896" name="Line 248"/>
        <xdr:cNvSpPr>
          <a:spLocks noChangeShapeType="1"/>
        </xdr:cNvSpPr>
      </xdr:nvSpPr>
      <xdr:spPr bwMode="auto">
        <a:xfrm>
          <a:off x="5143500" y="17154525"/>
          <a:ext cx="34290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19050</xdr:colOff>
      <xdr:row>202</xdr:row>
      <xdr:rowOff>66675</xdr:rowOff>
    </xdr:from>
    <xdr:to>
      <xdr:col>14</xdr:col>
      <xdr:colOff>361950</xdr:colOff>
      <xdr:row>202</xdr:row>
      <xdr:rowOff>66675</xdr:rowOff>
    </xdr:to>
    <xdr:sp macro="" textlink="">
      <xdr:nvSpPr>
        <xdr:cNvPr id="27897" name="Line 249"/>
        <xdr:cNvSpPr>
          <a:spLocks noChangeShapeType="1"/>
        </xdr:cNvSpPr>
      </xdr:nvSpPr>
      <xdr:spPr bwMode="auto">
        <a:xfrm>
          <a:off x="6810375" y="34223325"/>
          <a:ext cx="3429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304800</xdr:colOff>
      <xdr:row>97</xdr:row>
      <xdr:rowOff>76200</xdr:rowOff>
    </xdr:from>
    <xdr:to>
      <xdr:col>3</xdr:col>
      <xdr:colOff>600075</xdr:colOff>
      <xdr:row>97</xdr:row>
      <xdr:rowOff>76200</xdr:rowOff>
    </xdr:to>
    <xdr:sp macro="" textlink="">
      <xdr:nvSpPr>
        <xdr:cNvPr id="27898" name="Line 250"/>
        <xdr:cNvSpPr>
          <a:spLocks noChangeShapeType="1"/>
        </xdr:cNvSpPr>
      </xdr:nvSpPr>
      <xdr:spPr bwMode="auto">
        <a:xfrm>
          <a:off x="1971675" y="17145000"/>
          <a:ext cx="2952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19050</xdr:colOff>
      <xdr:row>211</xdr:row>
      <xdr:rowOff>104775</xdr:rowOff>
    </xdr:from>
    <xdr:to>
      <xdr:col>15</xdr:col>
      <xdr:colOff>361950</xdr:colOff>
      <xdr:row>211</xdr:row>
      <xdr:rowOff>104775</xdr:rowOff>
    </xdr:to>
    <xdr:sp macro="" textlink="">
      <xdr:nvSpPr>
        <xdr:cNvPr id="27899" name="Line 251"/>
        <xdr:cNvSpPr>
          <a:spLocks noChangeShapeType="1"/>
        </xdr:cNvSpPr>
      </xdr:nvSpPr>
      <xdr:spPr bwMode="auto">
        <a:xfrm>
          <a:off x="7419975" y="35718750"/>
          <a:ext cx="34290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419100</xdr:colOff>
      <xdr:row>106</xdr:row>
      <xdr:rowOff>76200</xdr:rowOff>
    </xdr:from>
    <xdr:to>
      <xdr:col>12</xdr:col>
      <xdr:colOff>209550</xdr:colOff>
      <xdr:row>106</xdr:row>
      <xdr:rowOff>76200</xdr:rowOff>
    </xdr:to>
    <xdr:sp macro="" textlink="">
      <xdr:nvSpPr>
        <xdr:cNvPr id="27900" name="Line 252"/>
        <xdr:cNvSpPr>
          <a:spLocks noChangeShapeType="1"/>
        </xdr:cNvSpPr>
      </xdr:nvSpPr>
      <xdr:spPr bwMode="auto">
        <a:xfrm>
          <a:off x="5362575" y="18640425"/>
          <a:ext cx="4000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495300</xdr:colOff>
      <xdr:row>106</xdr:row>
      <xdr:rowOff>85725</xdr:rowOff>
    </xdr:from>
    <xdr:to>
      <xdr:col>4</xdr:col>
      <xdr:colOff>228600</xdr:colOff>
      <xdr:row>106</xdr:row>
      <xdr:rowOff>85725</xdr:rowOff>
    </xdr:to>
    <xdr:sp macro="" textlink="">
      <xdr:nvSpPr>
        <xdr:cNvPr id="27901" name="Line 253"/>
        <xdr:cNvSpPr>
          <a:spLocks noChangeShapeType="1"/>
        </xdr:cNvSpPr>
      </xdr:nvSpPr>
      <xdr:spPr bwMode="auto">
        <a:xfrm>
          <a:off x="2162175" y="18649950"/>
          <a:ext cx="3429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400050</xdr:colOff>
      <xdr:row>8</xdr:row>
      <xdr:rowOff>152400</xdr:rowOff>
    </xdr:from>
    <xdr:to>
      <xdr:col>9</xdr:col>
      <xdr:colOff>581025</xdr:colOff>
      <xdr:row>8</xdr:row>
      <xdr:rowOff>152400</xdr:rowOff>
    </xdr:to>
    <xdr:sp macro="" textlink="">
      <xdr:nvSpPr>
        <xdr:cNvPr id="16385" name="Line 1"/>
        <xdr:cNvSpPr>
          <a:spLocks noChangeShapeType="1"/>
        </xdr:cNvSpPr>
      </xdr:nvSpPr>
      <xdr:spPr bwMode="auto">
        <a:xfrm>
          <a:off x="2486025" y="1838325"/>
          <a:ext cx="368617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428625</xdr:colOff>
      <xdr:row>4</xdr:row>
      <xdr:rowOff>190500</xdr:rowOff>
    </xdr:from>
    <xdr:to>
      <xdr:col>10</xdr:col>
      <xdr:colOff>19050</xdr:colOff>
      <xdr:row>5</xdr:row>
      <xdr:rowOff>0</xdr:rowOff>
    </xdr:to>
    <xdr:sp macro="" textlink="">
      <xdr:nvSpPr>
        <xdr:cNvPr id="16386" name="Line 2"/>
        <xdr:cNvSpPr>
          <a:spLocks noChangeShapeType="1"/>
        </xdr:cNvSpPr>
      </xdr:nvSpPr>
      <xdr:spPr bwMode="auto">
        <a:xfrm flipV="1">
          <a:off x="2514600" y="1085850"/>
          <a:ext cx="3705225" cy="95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2</xdr:row>
      <xdr:rowOff>152400</xdr:rowOff>
    </xdr:from>
    <xdr:to>
      <xdr:col>5</xdr:col>
      <xdr:colOff>9525</xdr:colOff>
      <xdr:row>26</xdr:row>
      <xdr:rowOff>9525</xdr:rowOff>
    </xdr:to>
    <xdr:sp macro="" textlink="">
      <xdr:nvSpPr>
        <xdr:cNvPr id="16387" name="Line 3"/>
        <xdr:cNvSpPr>
          <a:spLocks noChangeShapeType="1"/>
        </xdr:cNvSpPr>
      </xdr:nvSpPr>
      <xdr:spPr bwMode="auto">
        <a:xfrm>
          <a:off x="2714625" y="666750"/>
          <a:ext cx="0" cy="459105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lgDashDot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123825</xdr:colOff>
      <xdr:row>8</xdr:row>
      <xdr:rowOff>152400</xdr:rowOff>
    </xdr:from>
    <xdr:to>
      <xdr:col>5</xdr:col>
      <xdr:colOff>123825</xdr:colOff>
      <xdr:row>25</xdr:row>
      <xdr:rowOff>9525</xdr:rowOff>
    </xdr:to>
    <xdr:sp macro="" textlink="">
      <xdr:nvSpPr>
        <xdr:cNvPr id="16388" name="Line 4"/>
        <xdr:cNvSpPr>
          <a:spLocks noChangeShapeType="1"/>
        </xdr:cNvSpPr>
      </xdr:nvSpPr>
      <xdr:spPr bwMode="auto">
        <a:xfrm>
          <a:off x="2828925" y="1838325"/>
          <a:ext cx="0" cy="325755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495300</xdr:colOff>
      <xdr:row>8</xdr:row>
      <xdr:rowOff>152400</xdr:rowOff>
    </xdr:from>
    <xdr:to>
      <xdr:col>4</xdr:col>
      <xdr:colOff>495300</xdr:colOff>
      <xdr:row>25</xdr:row>
      <xdr:rowOff>9525</xdr:rowOff>
    </xdr:to>
    <xdr:sp macro="" textlink="">
      <xdr:nvSpPr>
        <xdr:cNvPr id="16389" name="Line 5"/>
        <xdr:cNvSpPr>
          <a:spLocks noChangeShapeType="1"/>
        </xdr:cNvSpPr>
      </xdr:nvSpPr>
      <xdr:spPr bwMode="auto">
        <a:xfrm>
          <a:off x="2581275" y="1838325"/>
          <a:ext cx="0" cy="325755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361950</xdr:colOff>
      <xdr:row>25</xdr:row>
      <xdr:rowOff>9525</xdr:rowOff>
    </xdr:from>
    <xdr:to>
      <xdr:col>10</xdr:col>
      <xdr:colOff>295275</xdr:colOff>
      <xdr:row>25</xdr:row>
      <xdr:rowOff>19050</xdr:rowOff>
    </xdr:to>
    <xdr:sp macro="" textlink="">
      <xdr:nvSpPr>
        <xdr:cNvPr id="16390" name="Line 6"/>
        <xdr:cNvSpPr>
          <a:spLocks noChangeShapeType="1"/>
        </xdr:cNvSpPr>
      </xdr:nvSpPr>
      <xdr:spPr bwMode="auto">
        <a:xfrm>
          <a:off x="2447925" y="5095875"/>
          <a:ext cx="4048125" cy="95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323850</xdr:colOff>
      <xdr:row>4</xdr:row>
      <xdr:rowOff>190500</xdr:rowOff>
    </xdr:from>
    <xdr:to>
      <xdr:col>4</xdr:col>
      <xdr:colOff>342900</xdr:colOff>
      <xdr:row>4</xdr:row>
      <xdr:rowOff>190500</xdr:rowOff>
    </xdr:to>
    <xdr:sp macro="" textlink="">
      <xdr:nvSpPr>
        <xdr:cNvPr id="16391" name="Line 7"/>
        <xdr:cNvSpPr>
          <a:spLocks noChangeShapeType="1"/>
        </xdr:cNvSpPr>
      </xdr:nvSpPr>
      <xdr:spPr bwMode="auto">
        <a:xfrm flipH="1">
          <a:off x="1628775" y="1085850"/>
          <a:ext cx="800100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323850</xdr:colOff>
      <xdr:row>8</xdr:row>
      <xdr:rowOff>152400</xdr:rowOff>
    </xdr:from>
    <xdr:to>
      <xdr:col>4</xdr:col>
      <xdr:colOff>352425</xdr:colOff>
      <xdr:row>8</xdr:row>
      <xdr:rowOff>152400</xdr:rowOff>
    </xdr:to>
    <xdr:sp macro="" textlink="">
      <xdr:nvSpPr>
        <xdr:cNvPr id="16392" name="Line 8"/>
        <xdr:cNvSpPr>
          <a:spLocks noChangeShapeType="1"/>
        </xdr:cNvSpPr>
      </xdr:nvSpPr>
      <xdr:spPr bwMode="auto">
        <a:xfrm flipH="1">
          <a:off x="1628775" y="1838325"/>
          <a:ext cx="80962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390525</xdr:colOff>
      <xdr:row>5</xdr:row>
      <xdr:rowOff>0</xdr:rowOff>
    </xdr:from>
    <xdr:to>
      <xdr:col>3</xdr:col>
      <xdr:colOff>390525</xdr:colOff>
      <xdr:row>8</xdr:row>
      <xdr:rowOff>152400</xdr:rowOff>
    </xdr:to>
    <xdr:sp macro="" textlink="">
      <xdr:nvSpPr>
        <xdr:cNvPr id="16393" name="Line 9"/>
        <xdr:cNvSpPr>
          <a:spLocks noChangeShapeType="1"/>
        </xdr:cNvSpPr>
      </xdr:nvSpPr>
      <xdr:spPr bwMode="auto">
        <a:xfrm>
          <a:off x="1695450" y="1095375"/>
          <a:ext cx="0" cy="74295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723900</xdr:colOff>
      <xdr:row>6</xdr:row>
      <xdr:rowOff>142875</xdr:rowOff>
    </xdr:from>
    <xdr:to>
      <xdr:col>3</xdr:col>
      <xdr:colOff>390525</xdr:colOff>
      <xdr:row>7</xdr:row>
      <xdr:rowOff>85725</xdr:rowOff>
    </xdr:to>
    <xdr:sp macro="" textlink="">
      <xdr:nvSpPr>
        <xdr:cNvPr id="16394" name="Line 10"/>
        <xdr:cNvSpPr>
          <a:spLocks noChangeShapeType="1"/>
        </xdr:cNvSpPr>
      </xdr:nvSpPr>
      <xdr:spPr bwMode="auto">
        <a:xfrm flipH="1">
          <a:off x="1295400" y="1409700"/>
          <a:ext cx="400050" cy="1524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oval" w="med" len="med"/>
          <a:tailEnd type="oval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304800</xdr:colOff>
      <xdr:row>8</xdr:row>
      <xdr:rowOff>152400</xdr:rowOff>
    </xdr:from>
    <xdr:to>
      <xdr:col>9</xdr:col>
      <xdr:colOff>304800</xdr:colOff>
      <xdr:row>25</xdr:row>
      <xdr:rowOff>9525</xdr:rowOff>
    </xdr:to>
    <xdr:sp macro="" textlink="">
      <xdr:nvSpPr>
        <xdr:cNvPr id="16395" name="Line 11"/>
        <xdr:cNvSpPr>
          <a:spLocks noChangeShapeType="1"/>
        </xdr:cNvSpPr>
      </xdr:nvSpPr>
      <xdr:spPr bwMode="auto">
        <a:xfrm>
          <a:off x="5895975" y="1838325"/>
          <a:ext cx="0" cy="325755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</xdr:row>
      <xdr:rowOff>142875</xdr:rowOff>
    </xdr:from>
    <xdr:to>
      <xdr:col>9</xdr:col>
      <xdr:colOff>409575</xdr:colOff>
      <xdr:row>27</xdr:row>
      <xdr:rowOff>28575</xdr:rowOff>
    </xdr:to>
    <xdr:sp macro="" textlink="">
      <xdr:nvSpPr>
        <xdr:cNvPr id="16396" name="Line 12"/>
        <xdr:cNvSpPr>
          <a:spLocks noChangeShapeType="1"/>
        </xdr:cNvSpPr>
      </xdr:nvSpPr>
      <xdr:spPr bwMode="auto">
        <a:xfrm>
          <a:off x="5981700" y="657225"/>
          <a:ext cx="19050" cy="478155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lgDashDot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161925</xdr:colOff>
      <xdr:row>8</xdr:row>
      <xdr:rowOff>142875</xdr:rowOff>
    </xdr:from>
    <xdr:to>
      <xdr:col>8</xdr:col>
      <xdr:colOff>638175</xdr:colOff>
      <xdr:row>25</xdr:row>
      <xdr:rowOff>0</xdr:rowOff>
    </xdr:to>
    <xdr:sp macro="" textlink="">
      <xdr:nvSpPr>
        <xdr:cNvPr id="16397" name="Line 13"/>
        <xdr:cNvSpPr>
          <a:spLocks noChangeShapeType="1"/>
        </xdr:cNvSpPr>
      </xdr:nvSpPr>
      <xdr:spPr bwMode="auto">
        <a:xfrm>
          <a:off x="2867025" y="1828800"/>
          <a:ext cx="2638425" cy="3257550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457200</xdr:colOff>
      <xdr:row>8</xdr:row>
      <xdr:rowOff>142875</xdr:rowOff>
    </xdr:from>
    <xdr:to>
      <xdr:col>9</xdr:col>
      <xdr:colOff>238125</xdr:colOff>
      <xdr:row>24</xdr:row>
      <xdr:rowOff>152400</xdr:rowOff>
    </xdr:to>
    <xdr:sp macro="" textlink="">
      <xdr:nvSpPr>
        <xdr:cNvPr id="16398" name="Line 14"/>
        <xdr:cNvSpPr>
          <a:spLocks noChangeShapeType="1"/>
        </xdr:cNvSpPr>
      </xdr:nvSpPr>
      <xdr:spPr bwMode="auto">
        <a:xfrm flipH="1" flipV="1">
          <a:off x="3162300" y="1828800"/>
          <a:ext cx="2667000" cy="324802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180975</xdr:rowOff>
    </xdr:from>
    <xdr:to>
      <xdr:col>9</xdr:col>
      <xdr:colOff>409575</xdr:colOff>
      <xdr:row>27</xdr:row>
      <xdr:rowOff>47625</xdr:rowOff>
    </xdr:to>
    <xdr:sp macro="" textlink="">
      <xdr:nvSpPr>
        <xdr:cNvPr id="16399" name="Line 15"/>
        <xdr:cNvSpPr>
          <a:spLocks noChangeShapeType="1"/>
        </xdr:cNvSpPr>
      </xdr:nvSpPr>
      <xdr:spPr bwMode="auto">
        <a:xfrm flipH="1" flipV="1">
          <a:off x="2705100" y="1447800"/>
          <a:ext cx="3295650" cy="40100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lgDashDot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495300</xdr:colOff>
      <xdr:row>8</xdr:row>
      <xdr:rowOff>142875</xdr:rowOff>
    </xdr:from>
    <xdr:to>
      <xdr:col>9</xdr:col>
      <xdr:colOff>495300</xdr:colOff>
      <xdr:row>25</xdr:row>
      <xdr:rowOff>19050</xdr:rowOff>
    </xdr:to>
    <xdr:sp macro="" textlink="">
      <xdr:nvSpPr>
        <xdr:cNvPr id="16400" name="Line 16"/>
        <xdr:cNvSpPr>
          <a:spLocks noChangeShapeType="1"/>
        </xdr:cNvSpPr>
      </xdr:nvSpPr>
      <xdr:spPr bwMode="auto">
        <a:xfrm>
          <a:off x="6086475" y="1828800"/>
          <a:ext cx="0" cy="327660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66675</xdr:colOff>
      <xdr:row>5</xdr:row>
      <xdr:rowOff>0</xdr:rowOff>
    </xdr:from>
    <xdr:to>
      <xdr:col>12</xdr:col>
      <xdr:colOff>352425</xdr:colOff>
      <xdr:row>5</xdr:row>
      <xdr:rowOff>0</xdr:rowOff>
    </xdr:to>
    <xdr:sp macro="" textlink="">
      <xdr:nvSpPr>
        <xdr:cNvPr id="16401" name="Line 17"/>
        <xdr:cNvSpPr>
          <a:spLocks noChangeShapeType="1"/>
        </xdr:cNvSpPr>
      </xdr:nvSpPr>
      <xdr:spPr bwMode="auto">
        <a:xfrm>
          <a:off x="6267450" y="1095375"/>
          <a:ext cx="1771650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342900</xdr:colOff>
      <xdr:row>25</xdr:row>
      <xdr:rowOff>9525</xdr:rowOff>
    </xdr:from>
    <xdr:to>
      <xdr:col>12</xdr:col>
      <xdr:colOff>400050</xdr:colOff>
      <xdr:row>25</xdr:row>
      <xdr:rowOff>9525</xdr:rowOff>
    </xdr:to>
    <xdr:sp macro="" textlink="">
      <xdr:nvSpPr>
        <xdr:cNvPr id="16402" name="Line 18"/>
        <xdr:cNvSpPr>
          <a:spLocks noChangeShapeType="1"/>
        </xdr:cNvSpPr>
      </xdr:nvSpPr>
      <xdr:spPr bwMode="auto">
        <a:xfrm>
          <a:off x="6543675" y="5095875"/>
          <a:ext cx="1543050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333375</xdr:colOff>
      <xdr:row>5</xdr:row>
      <xdr:rowOff>0</xdr:rowOff>
    </xdr:from>
    <xdr:to>
      <xdr:col>12</xdr:col>
      <xdr:colOff>333375</xdr:colOff>
      <xdr:row>25</xdr:row>
      <xdr:rowOff>0</xdr:rowOff>
    </xdr:to>
    <xdr:sp macro="" textlink="">
      <xdr:nvSpPr>
        <xdr:cNvPr id="16403" name="Line 19"/>
        <xdr:cNvSpPr>
          <a:spLocks noChangeShapeType="1"/>
        </xdr:cNvSpPr>
      </xdr:nvSpPr>
      <xdr:spPr bwMode="auto">
        <a:xfrm flipV="1">
          <a:off x="8020050" y="1095375"/>
          <a:ext cx="0" cy="399097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333375</xdr:colOff>
      <xdr:row>14</xdr:row>
      <xdr:rowOff>95250</xdr:rowOff>
    </xdr:from>
    <xdr:to>
      <xdr:col>12</xdr:col>
      <xdr:colOff>704850</xdr:colOff>
      <xdr:row>14</xdr:row>
      <xdr:rowOff>95250</xdr:rowOff>
    </xdr:to>
    <xdr:sp macro="" textlink="">
      <xdr:nvSpPr>
        <xdr:cNvPr id="16404" name="Line 20"/>
        <xdr:cNvSpPr>
          <a:spLocks noChangeShapeType="1"/>
        </xdr:cNvSpPr>
      </xdr:nvSpPr>
      <xdr:spPr bwMode="auto">
        <a:xfrm flipH="1">
          <a:off x="8020050" y="2952750"/>
          <a:ext cx="3714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oval" w="med" len="med"/>
          <a:tailEnd type="oval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123825</xdr:colOff>
      <xdr:row>15</xdr:row>
      <xdr:rowOff>85725</xdr:rowOff>
    </xdr:from>
    <xdr:to>
      <xdr:col>6</xdr:col>
      <xdr:colOff>495300</xdr:colOff>
      <xdr:row>16</xdr:row>
      <xdr:rowOff>180975</xdr:rowOff>
    </xdr:to>
    <xdr:sp macro="" textlink="">
      <xdr:nvSpPr>
        <xdr:cNvPr id="16405" name="Line 21"/>
        <xdr:cNvSpPr>
          <a:spLocks noChangeShapeType="1"/>
        </xdr:cNvSpPr>
      </xdr:nvSpPr>
      <xdr:spPr bwMode="auto">
        <a:xfrm flipH="1">
          <a:off x="3571875" y="3152775"/>
          <a:ext cx="371475" cy="30480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685800</xdr:colOff>
      <xdr:row>13</xdr:row>
      <xdr:rowOff>66675</xdr:rowOff>
    </xdr:from>
    <xdr:to>
      <xdr:col>7</xdr:col>
      <xdr:colOff>257175</xdr:colOff>
      <xdr:row>14</xdr:row>
      <xdr:rowOff>161925</xdr:rowOff>
    </xdr:to>
    <xdr:sp macro="" textlink="">
      <xdr:nvSpPr>
        <xdr:cNvPr id="16406" name="Line 22"/>
        <xdr:cNvSpPr>
          <a:spLocks noChangeShapeType="1"/>
        </xdr:cNvSpPr>
      </xdr:nvSpPr>
      <xdr:spPr bwMode="auto">
        <a:xfrm flipV="1">
          <a:off x="4133850" y="2705100"/>
          <a:ext cx="333375" cy="3143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247650</xdr:colOff>
      <xdr:row>13</xdr:row>
      <xdr:rowOff>66675</xdr:rowOff>
    </xdr:from>
    <xdr:to>
      <xdr:col>8</xdr:col>
      <xdr:colOff>0</xdr:colOff>
      <xdr:row>13</xdr:row>
      <xdr:rowOff>66675</xdr:rowOff>
    </xdr:to>
    <xdr:sp macro="" textlink="">
      <xdr:nvSpPr>
        <xdr:cNvPr id="16407" name="Line 23"/>
        <xdr:cNvSpPr>
          <a:spLocks noChangeShapeType="1"/>
        </xdr:cNvSpPr>
      </xdr:nvSpPr>
      <xdr:spPr bwMode="auto">
        <a:xfrm>
          <a:off x="4457700" y="2705100"/>
          <a:ext cx="40957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495300</xdr:colOff>
      <xdr:row>10</xdr:row>
      <xdr:rowOff>114300</xdr:rowOff>
    </xdr:from>
    <xdr:to>
      <xdr:col>10</xdr:col>
      <xdr:colOff>542925</xdr:colOff>
      <xdr:row>10</xdr:row>
      <xdr:rowOff>114300</xdr:rowOff>
    </xdr:to>
    <xdr:sp macro="" textlink="">
      <xdr:nvSpPr>
        <xdr:cNvPr id="16408" name="Line 24"/>
        <xdr:cNvSpPr>
          <a:spLocks noChangeShapeType="1"/>
        </xdr:cNvSpPr>
      </xdr:nvSpPr>
      <xdr:spPr bwMode="auto">
        <a:xfrm>
          <a:off x="6086475" y="2171700"/>
          <a:ext cx="65722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66675</xdr:colOff>
      <xdr:row>10</xdr:row>
      <xdr:rowOff>114300</xdr:rowOff>
    </xdr:from>
    <xdr:to>
      <xdr:col>9</xdr:col>
      <xdr:colOff>295275</xdr:colOff>
      <xdr:row>10</xdr:row>
      <xdr:rowOff>114300</xdr:rowOff>
    </xdr:to>
    <xdr:sp macro="" textlink="">
      <xdr:nvSpPr>
        <xdr:cNvPr id="16409" name="Line 25"/>
        <xdr:cNvSpPr>
          <a:spLocks noChangeShapeType="1"/>
        </xdr:cNvSpPr>
      </xdr:nvSpPr>
      <xdr:spPr bwMode="auto">
        <a:xfrm flipH="1">
          <a:off x="5657850" y="2171700"/>
          <a:ext cx="228600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3</xdr:row>
      <xdr:rowOff>76200</xdr:rowOff>
    </xdr:from>
    <xdr:to>
      <xdr:col>6</xdr:col>
      <xdr:colOff>695325</xdr:colOff>
      <xdr:row>3</xdr:row>
      <xdr:rowOff>76200</xdr:rowOff>
    </xdr:to>
    <xdr:sp macro="" textlink="">
      <xdr:nvSpPr>
        <xdr:cNvPr id="16410" name="Line 26"/>
        <xdr:cNvSpPr>
          <a:spLocks noChangeShapeType="1"/>
        </xdr:cNvSpPr>
      </xdr:nvSpPr>
      <xdr:spPr bwMode="auto">
        <a:xfrm>
          <a:off x="2705100" y="762000"/>
          <a:ext cx="143827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</xdr:colOff>
      <xdr:row>3</xdr:row>
      <xdr:rowOff>66675</xdr:rowOff>
    </xdr:from>
    <xdr:to>
      <xdr:col>9</xdr:col>
      <xdr:colOff>390525</xdr:colOff>
      <xdr:row>3</xdr:row>
      <xdr:rowOff>66675</xdr:rowOff>
    </xdr:to>
    <xdr:sp macro="" textlink="">
      <xdr:nvSpPr>
        <xdr:cNvPr id="16411" name="Line 27"/>
        <xdr:cNvSpPr>
          <a:spLocks noChangeShapeType="1"/>
        </xdr:cNvSpPr>
      </xdr:nvSpPr>
      <xdr:spPr bwMode="auto">
        <a:xfrm>
          <a:off x="4886325" y="752475"/>
          <a:ext cx="109537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10</xdr:col>
      <xdr:colOff>276225</xdr:colOff>
      <xdr:row>19</xdr:row>
      <xdr:rowOff>0</xdr:rowOff>
    </xdr:from>
    <xdr:ext cx="539750" cy="254000"/>
    <xdr:sp macro="" textlink="">
      <xdr:nvSpPr>
        <xdr:cNvPr id="16412" name="AutoShape 28"/>
        <xdr:cNvSpPr>
          <a:spLocks/>
        </xdr:cNvSpPr>
      </xdr:nvSpPr>
      <xdr:spPr bwMode="auto">
        <a:xfrm>
          <a:off x="6477000" y="3914775"/>
          <a:ext cx="542925" cy="247650"/>
        </a:xfrm>
        <a:prstGeom prst="borderCallout2">
          <a:avLst>
            <a:gd name="adj1" fmla="val 46153"/>
            <a:gd name="adj2" fmla="val -14546"/>
            <a:gd name="adj3" fmla="val 46153"/>
            <a:gd name="adj4" fmla="val -36366"/>
            <a:gd name="adj5" fmla="val 465384"/>
            <a:gd name="adj6" fmla="val -118181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2" clr.</a:t>
          </a:r>
        </a:p>
      </xdr:txBody>
    </xdr:sp>
    <xdr:clientData/>
  </xdr:oneCellAnchor>
  <xdr:oneCellAnchor>
    <xdr:from>
      <xdr:col>5</xdr:col>
      <xdr:colOff>600075</xdr:colOff>
      <xdr:row>5</xdr:row>
      <xdr:rowOff>104775</xdr:rowOff>
    </xdr:from>
    <xdr:ext cx="530225" cy="254000"/>
    <xdr:sp macro="" textlink="">
      <xdr:nvSpPr>
        <xdr:cNvPr id="16413" name="AutoShape 29"/>
        <xdr:cNvSpPr>
          <a:spLocks/>
        </xdr:cNvSpPr>
      </xdr:nvSpPr>
      <xdr:spPr bwMode="auto">
        <a:xfrm>
          <a:off x="3305175" y="1200150"/>
          <a:ext cx="523875" cy="247650"/>
        </a:xfrm>
        <a:prstGeom prst="borderCallout2">
          <a:avLst>
            <a:gd name="adj1" fmla="val 44444"/>
            <a:gd name="adj2" fmla="val -14287"/>
            <a:gd name="adj3" fmla="val 44444"/>
            <a:gd name="adj4" fmla="val -28569"/>
            <a:gd name="adj5" fmla="val 255556"/>
            <a:gd name="adj6" fmla="val -82144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2" clr.</a:t>
          </a:r>
        </a:p>
      </xdr:txBody>
    </xdr:sp>
    <xdr:clientData/>
  </xdr:oneCellAnchor>
  <xdr:twoCellAnchor>
    <xdr:from>
      <xdr:col>4</xdr:col>
      <xdr:colOff>9525</xdr:colOff>
      <xdr:row>8</xdr:row>
      <xdr:rowOff>142875</xdr:rowOff>
    </xdr:from>
    <xdr:to>
      <xdr:col>5</xdr:col>
      <xdr:colOff>161925</xdr:colOff>
      <xdr:row>12</xdr:row>
      <xdr:rowOff>142875</xdr:rowOff>
    </xdr:to>
    <xdr:sp macro="" textlink="">
      <xdr:nvSpPr>
        <xdr:cNvPr id="16414" name="Line 30"/>
        <xdr:cNvSpPr>
          <a:spLocks noChangeShapeType="1"/>
        </xdr:cNvSpPr>
      </xdr:nvSpPr>
      <xdr:spPr bwMode="auto">
        <a:xfrm flipH="1">
          <a:off x="2095500" y="1828800"/>
          <a:ext cx="771525" cy="78105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38100</xdr:colOff>
      <xdr:row>25</xdr:row>
      <xdr:rowOff>0</xdr:rowOff>
    </xdr:from>
    <xdr:to>
      <xdr:col>9</xdr:col>
      <xdr:colOff>247650</xdr:colOff>
      <xdr:row>29</xdr:row>
      <xdr:rowOff>133350</xdr:rowOff>
    </xdr:to>
    <xdr:sp macro="" textlink="">
      <xdr:nvSpPr>
        <xdr:cNvPr id="16415" name="Line 31"/>
        <xdr:cNvSpPr>
          <a:spLocks noChangeShapeType="1"/>
        </xdr:cNvSpPr>
      </xdr:nvSpPr>
      <xdr:spPr bwMode="auto">
        <a:xfrm flipH="1">
          <a:off x="4905375" y="5086350"/>
          <a:ext cx="933450" cy="78105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76200</xdr:colOff>
      <xdr:row>12</xdr:row>
      <xdr:rowOff>57150</xdr:rowOff>
    </xdr:from>
    <xdr:to>
      <xdr:col>8</xdr:col>
      <xdr:colOff>66675</xdr:colOff>
      <xdr:row>29</xdr:row>
      <xdr:rowOff>95250</xdr:rowOff>
    </xdr:to>
    <xdr:sp macro="" textlink="">
      <xdr:nvSpPr>
        <xdr:cNvPr id="16416" name="Line 32"/>
        <xdr:cNvSpPr>
          <a:spLocks noChangeShapeType="1"/>
        </xdr:cNvSpPr>
      </xdr:nvSpPr>
      <xdr:spPr bwMode="auto">
        <a:xfrm flipH="1" flipV="1">
          <a:off x="2162175" y="2524125"/>
          <a:ext cx="2771775" cy="330517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152400</xdr:colOff>
      <xdr:row>19</xdr:row>
      <xdr:rowOff>38100</xdr:rowOff>
    </xdr:from>
    <xdr:to>
      <xdr:col>6</xdr:col>
      <xdr:colOff>314325</xdr:colOff>
      <xdr:row>20</xdr:row>
      <xdr:rowOff>9525</xdr:rowOff>
    </xdr:to>
    <xdr:sp macro="" textlink="">
      <xdr:nvSpPr>
        <xdr:cNvPr id="16417" name="Line 33"/>
        <xdr:cNvSpPr>
          <a:spLocks noChangeShapeType="1"/>
        </xdr:cNvSpPr>
      </xdr:nvSpPr>
      <xdr:spPr bwMode="auto">
        <a:xfrm flipH="1">
          <a:off x="3600450" y="3952875"/>
          <a:ext cx="161925" cy="18097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oval" w="med" len="med"/>
          <a:tailEnd type="oval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9525</xdr:colOff>
      <xdr:row>18</xdr:row>
      <xdr:rowOff>123825</xdr:rowOff>
    </xdr:from>
    <xdr:to>
      <xdr:col>4</xdr:col>
      <xdr:colOff>504825</xdr:colOff>
      <xdr:row>18</xdr:row>
      <xdr:rowOff>123825</xdr:rowOff>
    </xdr:to>
    <xdr:sp macro="" textlink="">
      <xdr:nvSpPr>
        <xdr:cNvPr id="16418" name="Line 34"/>
        <xdr:cNvSpPr>
          <a:spLocks noChangeShapeType="1"/>
        </xdr:cNvSpPr>
      </xdr:nvSpPr>
      <xdr:spPr bwMode="auto">
        <a:xfrm flipH="1">
          <a:off x="2095500" y="3829050"/>
          <a:ext cx="495300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123825</xdr:colOff>
      <xdr:row>18</xdr:row>
      <xdr:rowOff>133350</xdr:rowOff>
    </xdr:from>
    <xdr:to>
      <xdr:col>5</xdr:col>
      <xdr:colOff>304800</xdr:colOff>
      <xdr:row>18</xdr:row>
      <xdr:rowOff>133350</xdr:rowOff>
    </xdr:to>
    <xdr:sp macro="" textlink="">
      <xdr:nvSpPr>
        <xdr:cNvPr id="16419" name="Line 35"/>
        <xdr:cNvSpPr>
          <a:spLocks noChangeShapeType="1"/>
        </xdr:cNvSpPr>
      </xdr:nvSpPr>
      <xdr:spPr bwMode="auto">
        <a:xfrm>
          <a:off x="2828925" y="3838575"/>
          <a:ext cx="18097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447675</xdr:colOff>
      <xdr:row>5</xdr:row>
      <xdr:rowOff>38100</xdr:rowOff>
    </xdr:from>
    <xdr:to>
      <xdr:col>9</xdr:col>
      <xdr:colOff>581025</xdr:colOff>
      <xdr:row>5</xdr:row>
      <xdr:rowOff>38100</xdr:rowOff>
    </xdr:to>
    <xdr:sp macro="" textlink="">
      <xdr:nvSpPr>
        <xdr:cNvPr id="16427" name="Line 43"/>
        <xdr:cNvSpPr>
          <a:spLocks noChangeShapeType="1"/>
        </xdr:cNvSpPr>
      </xdr:nvSpPr>
      <xdr:spPr bwMode="auto">
        <a:xfrm>
          <a:off x="2533650" y="1133475"/>
          <a:ext cx="36385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400050</xdr:colOff>
      <xdr:row>8</xdr:row>
      <xdr:rowOff>114300</xdr:rowOff>
    </xdr:from>
    <xdr:to>
      <xdr:col>9</xdr:col>
      <xdr:colOff>561975</xdr:colOff>
      <xdr:row>8</xdr:row>
      <xdr:rowOff>114300</xdr:rowOff>
    </xdr:to>
    <xdr:sp macro="" textlink="">
      <xdr:nvSpPr>
        <xdr:cNvPr id="16428" name="Line 44"/>
        <xdr:cNvSpPr>
          <a:spLocks noChangeShapeType="1"/>
        </xdr:cNvSpPr>
      </xdr:nvSpPr>
      <xdr:spPr bwMode="auto">
        <a:xfrm>
          <a:off x="2486025" y="1800225"/>
          <a:ext cx="36671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400050</xdr:colOff>
      <xdr:row>40</xdr:row>
      <xdr:rowOff>152400</xdr:rowOff>
    </xdr:from>
    <xdr:to>
      <xdr:col>9</xdr:col>
      <xdr:colOff>581025</xdr:colOff>
      <xdr:row>40</xdr:row>
      <xdr:rowOff>152400</xdr:rowOff>
    </xdr:to>
    <xdr:sp macro="" textlink="">
      <xdr:nvSpPr>
        <xdr:cNvPr id="16429" name="Line 45"/>
        <xdr:cNvSpPr>
          <a:spLocks noChangeShapeType="1"/>
        </xdr:cNvSpPr>
      </xdr:nvSpPr>
      <xdr:spPr bwMode="auto">
        <a:xfrm>
          <a:off x="2486025" y="8067675"/>
          <a:ext cx="368617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428625</xdr:colOff>
      <xdr:row>36</xdr:row>
      <xdr:rowOff>9525</xdr:rowOff>
    </xdr:from>
    <xdr:to>
      <xdr:col>10</xdr:col>
      <xdr:colOff>19050</xdr:colOff>
      <xdr:row>36</xdr:row>
      <xdr:rowOff>19050</xdr:rowOff>
    </xdr:to>
    <xdr:sp macro="" textlink="">
      <xdr:nvSpPr>
        <xdr:cNvPr id="16430" name="Line 46"/>
        <xdr:cNvSpPr>
          <a:spLocks noChangeShapeType="1"/>
        </xdr:cNvSpPr>
      </xdr:nvSpPr>
      <xdr:spPr bwMode="auto">
        <a:xfrm flipV="1">
          <a:off x="2514600" y="7124700"/>
          <a:ext cx="3705225" cy="95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590550</xdr:colOff>
      <xdr:row>33</xdr:row>
      <xdr:rowOff>57150</xdr:rowOff>
    </xdr:from>
    <xdr:to>
      <xdr:col>5</xdr:col>
      <xdr:colOff>9525</xdr:colOff>
      <xdr:row>59</xdr:row>
      <xdr:rowOff>9525</xdr:rowOff>
    </xdr:to>
    <xdr:sp macro="" textlink="">
      <xdr:nvSpPr>
        <xdr:cNvPr id="16431" name="Line 47"/>
        <xdr:cNvSpPr>
          <a:spLocks noChangeShapeType="1"/>
        </xdr:cNvSpPr>
      </xdr:nvSpPr>
      <xdr:spPr bwMode="auto">
        <a:xfrm>
          <a:off x="2676525" y="6553200"/>
          <a:ext cx="38100" cy="501015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lgDashDot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361950</xdr:colOff>
      <xdr:row>57</xdr:row>
      <xdr:rowOff>9525</xdr:rowOff>
    </xdr:from>
    <xdr:to>
      <xdr:col>10</xdr:col>
      <xdr:colOff>295275</xdr:colOff>
      <xdr:row>57</xdr:row>
      <xdr:rowOff>19050</xdr:rowOff>
    </xdr:to>
    <xdr:sp macro="" textlink="">
      <xdr:nvSpPr>
        <xdr:cNvPr id="16434" name="Line 50"/>
        <xdr:cNvSpPr>
          <a:spLocks noChangeShapeType="1"/>
        </xdr:cNvSpPr>
      </xdr:nvSpPr>
      <xdr:spPr bwMode="auto">
        <a:xfrm>
          <a:off x="2447925" y="11182350"/>
          <a:ext cx="4048125" cy="95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361950</xdr:colOff>
      <xdr:row>36</xdr:row>
      <xdr:rowOff>9525</xdr:rowOff>
    </xdr:from>
    <xdr:to>
      <xdr:col>4</xdr:col>
      <xdr:colOff>381000</xdr:colOff>
      <xdr:row>36</xdr:row>
      <xdr:rowOff>9525</xdr:rowOff>
    </xdr:to>
    <xdr:sp macro="" textlink="">
      <xdr:nvSpPr>
        <xdr:cNvPr id="16435" name="Line 51"/>
        <xdr:cNvSpPr>
          <a:spLocks noChangeShapeType="1"/>
        </xdr:cNvSpPr>
      </xdr:nvSpPr>
      <xdr:spPr bwMode="auto">
        <a:xfrm flipH="1">
          <a:off x="1666875" y="7124700"/>
          <a:ext cx="8001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323850</xdr:colOff>
      <xdr:row>40</xdr:row>
      <xdr:rowOff>152400</xdr:rowOff>
    </xdr:from>
    <xdr:to>
      <xdr:col>4</xdr:col>
      <xdr:colOff>352425</xdr:colOff>
      <xdr:row>40</xdr:row>
      <xdr:rowOff>152400</xdr:rowOff>
    </xdr:to>
    <xdr:sp macro="" textlink="">
      <xdr:nvSpPr>
        <xdr:cNvPr id="16436" name="Line 52"/>
        <xdr:cNvSpPr>
          <a:spLocks noChangeShapeType="1"/>
        </xdr:cNvSpPr>
      </xdr:nvSpPr>
      <xdr:spPr bwMode="auto">
        <a:xfrm flipH="1">
          <a:off x="1628775" y="8067675"/>
          <a:ext cx="80962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390525</xdr:colOff>
      <xdr:row>36</xdr:row>
      <xdr:rowOff>19050</xdr:rowOff>
    </xdr:from>
    <xdr:to>
      <xdr:col>3</xdr:col>
      <xdr:colOff>390525</xdr:colOff>
      <xdr:row>40</xdr:row>
      <xdr:rowOff>152400</xdr:rowOff>
    </xdr:to>
    <xdr:sp macro="" textlink="">
      <xdr:nvSpPr>
        <xdr:cNvPr id="16437" name="Line 53"/>
        <xdr:cNvSpPr>
          <a:spLocks noChangeShapeType="1"/>
        </xdr:cNvSpPr>
      </xdr:nvSpPr>
      <xdr:spPr bwMode="auto">
        <a:xfrm>
          <a:off x="1695450" y="7134225"/>
          <a:ext cx="0" cy="93345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33</xdr:row>
      <xdr:rowOff>19050</xdr:rowOff>
    </xdr:from>
    <xdr:to>
      <xdr:col>9</xdr:col>
      <xdr:colOff>400050</xdr:colOff>
      <xdr:row>59</xdr:row>
      <xdr:rowOff>76200</xdr:rowOff>
    </xdr:to>
    <xdr:sp macro="" textlink="">
      <xdr:nvSpPr>
        <xdr:cNvPr id="16440" name="Line 56"/>
        <xdr:cNvSpPr>
          <a:spLocks noChangeShapeType="1"/>
        </xdr:cNvSpPr>
      </xdr:nvSpPr>
      <xdr:spPr bwMode="auto">
        <a:xfrm>
          <a:off x="5981700" y="6515100"/>
          <a:ext cx="9525" cy="51149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lgDashDot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161925</xdr:colOff>
      <xdr:row>40</xdr:row>
      <xdr:rowOff>142875</xdr:rowOff>
    </xdr:from>
    <xdr:to>
      <xdr:col>8</xdr:col>
      <xdr:colOff>609600</xdr:colOff>
      <xdr:row>57</xdr:row>
      <xdr:rowOff>0</xdr:rowOff>
    </xdr:to>
    <xdr:sp macro="" textlink="">
      <xdr:nvSpPr>
        <xdr:cNvPr id="16441" name="Line 57"/>
        <xdr:cNvSpPr>
          <a:spLocks noChangeShapeType="1"/>
        </xdr:cNvSpPr>
      </xdr:nvSpPr>
      <xdr:spPr bwMode="auto">
        <a:xfrm>
          <a:off x="2867025" y="8058150"/>
          <a:ext cx="2609850" cy="311467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457200</xdr:colOff>
      <xdr:row>40</xdr:row>
      <xdr:rowOff>142875</xdr:rowOff>
    </xdr:from>
    <xdr:to>
      <xdr:col>9</xdr:col>
      <xdr:colOff>247650</xdr:colOff>
      <xdr:row>57</xdr:row>
      <xdr:rowOff>28575</xdr:rowOff>
    </xdr:to>
    <xdr:sp macro="" textlink="">
      <xdr:nvSpPr>
        <xdr:cNvPr id="16442" name="Line 58"/>
        <xdr:cNvSpPr>
          <a:spLocks noChangeShapeType="1"/>
        </xdr:cNvSpPr>
      </xdr:nvSpPr>
      <xdr:spPr bwMode="auto">
        <a:xfrm flipH="1" flipV="1">
          <a:off x="3162300" y="8058150"/>
          <a:ext cx="2676525" cy="3143250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38</xdr:row>
      <xdr:rowOff>114300</xdr:rowOff>
    </xdr:from>
    <xdr:to>
      <xdr:col>9</xdr:col>
      <xdr:colOff>390525</xdr:colOff>
      <xdr:row>59</xdr:row>
      <xdr:rowOff>66675</xdr:rowOff>
    </xdr:to>
    <xdr:sp macro="" textlink="">
      <xdr:nvSpPr>
        <xdr:cNvPr id="16443" name="Line 59"/>
        <xdr:cNvSpPr>
          <a:spLocks noChangeShapeType="1"/>
        </xdr:cNvSpPr>
      </xdr:nvSpPr>
      <xdr:spPr bwMode="auto">
        <a:xfrm flipH="1" flipV="1">
          <a:off x="2705100" y="7648575"/>
          <a:ext cx="3276600" cy="39719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lgDashDot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66675</xdr:colOff>
      <xdr:row>36</xdr:row>
      <xdr:rowOff>19050</xdr:rowOff>
    </xdr:from>
    <xdr:to>
      <xdr:col>12</xdr:col>
      <xdr:colOff>352425</xdr:colOff>
      <xdr:row>36</xdr:row>
      <xdr:rowOff>19050</xdr:rowOff>
    </xdr:to>
    <xdr:sp macro="" textlink="">
      <xdr:nvSpPr>
        <xdr:cNvPr id="16445" name="Line 61"/>
        <xdr:cNvSpPr>
          <a:spLocks noChangeShapeType="1"/>
        </xdr:cNvSpPr>
      </xdr:nvSpPr>
      <xdr:spPr bwMode="auto">
        <a:xfrm>
          <a:off x="6267450" y="7134225"/>
          <a:ext cx="1771650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342900</xdr:colOff>
      <xdr:row>57</xdr:row>
      <xdr:rowOff>9525</xdr:rowOff>
    </xdr:from>
    <xdr:to>
      <xdr:col>12</xdr:col>
      <xdr:colOff>400050</xdr:colOff>
      <xdr:row>57</xdr:row>
      <xdr:rowOff>9525</xdr:rowOff>
    </xdr:to>
    <xdr:sp macro="" textlink="">
      <xdr:nvSpPr>
        <xdr:cNvPr id="16446" name="Line 62"/>
        <xdr:cNvSpPr>
          <a:spLocks noChangeShapeType="1"/>
        </xdr:cNvSpPr>
      </xdr:nvSpPr>
      <xdr:spPr bwMode="auto">
        <a:xfrm>
          <a:off x="6543675" y="11182350"/>
          <a:ext cx="1543050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333375</xdr:colOff>
      <xdr:row>36</xdr:row>
      <xdr:rowOff>38100</xdr:rowOff>
    </xdr:from>
    <xdr:to>
      <xdr:col>12</xdr:col>
      <xdr:colOff>333375</xdr:colOff>
      <xdr:row>57</xdr:row>
      <xdr:rowOff>0</xdr:rowOff>
    </xdr:to>
    <xdr:sp macro="" textlink="">
      <xdr:nvSpPr>
        <xdr:cNvPr id="16447" name="Line 63"/>
        <xdr:cNvSpPr>
          <a:spLocks noChangeShapeType="1"/>
        </xdr:cNvSpPr>
      </xdr:nvSpPr>
      <xdr:spPr bwMode="auto">
        <a:xfrm flipV="1">
          <a:off x="8020050" y="7153275"/>
          <a:ext cx="0" cy="401955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333375</xdr:colOff>
      <xdr:row>46</xdr:row>
      <xdr:rowOff>95250</xdr:rowOff>
    </xdr:from>
    <xdr:to>
      <xdr:col>12</xdr:col>
      <xdr:colOff>714375</xdr:colOff>
      <xdr:row>46</xdr:row>
      <xdr:rowOff>95250</xdr:rowOff>
    </xdr:to>
    <xdr:sp macro="" textlink="">
      <xdr:nvSpPr>
        <xdr:cNvPr id="16448" name="Line 64"/>
        <xdr:cNvSpPr>
          <a:spLocks noChangeShapeType="1"/>
        </xdr:cNvSpPr>
      </xdr:nvSpPr>
      <xdr:spPr bwMode="auto">
        <a:xfrm flipH="1">
          <a:off x="8020050" y="9172575"/>
          <a:ext cx="3810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oval" w="med" len="med"/>
          <a:tailEnd type="oval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180975</xdr:colOff>
      <xdr:row>47</xdr:row>
      <xdr:rowOff>47625</xdr:rowOff>
    </xdr:from>
    <xdr:to>
      <xdr:col>6</xdr:col>
      <xdr:colOff>514350</xdr:colOff>
      <xdr:row>48</xdr:row>
      <xdr:rowOff>123825</xdr:rowOff>
    </xdr:to>
    <xdr:sp macro="" textlink="">
      <xdr:nvSpPr>
        <xdr:cNvPr id="16449" name="Line 65"/>
        <xdr:cNvSpPr>
          <a:spLocks noChangeShapeType="1"/>
        </xdr:cNvSpPr>
      </xdr:nvSpPr>
      <xdr:spPr bwMode="auto">
        <a:xfrm flipH="1">
          <a:off x="3629025" y="9344025"/>
          <a:ext cx="333375" cy="28575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695325</xdr:colOff>
      <xdr:row>45</xdr:row>
      <xdr:rowOff>57150</xdr:rowOff>
    </xdr:from>
    <xdr:to>
      <xdr:col>7</xdr:col>
      <xdr:colOff>257175</xdr:colOff>
      <xdr:row>46</xdr:row>
      <xdr:rowOff>85725</xdr:rowOff>
    </xdr:to>
    <xdr:sp macro="" textlink="">
      <xdr:nvSpPr>
        <xdr:cNvPr id="16450" name="Line 66"/>
        <xdr:cNvSpPr>
          <a:spLocks noChangeShapeType="1"/>
        </xdr:cNvSpPr>
      </xdr:nvSpPr>
      <xdr:spPr bwMode="auto">
        <a:xfrm flipV="1">
          <a:off x="4143375" y="8934450"/>
          <a:ext cx="323850" cy="22860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247650</xdr:colOff>
      <xdr:row>45</xdr:row>
      <xdr:rowOff>66675</xdr:rowOff>
    </xdr:from>
    <xdr:to>
      <xdr:col>8</xdr:col>
      <xdr:colOff>0</xdr:colOff>
      <xdr:row>45</xdr:row>
      <xdr:rowOff>66675</xdr:rowOff>
    </xdr:to>
    <xdr:sp macro="" textlink="">
      <xdr:nvSpPr>
        <xdr:cNvPr id="16451" name="Line 67"/>
        <xdr:cNvSpPr>
          <a:spLocks noChangeShapeType="1"/>
        </xdr:cNvSpPr>
      </xdr:nvSpPr>
      <xdr:spPr bwMode="auto">
        <a:xfrm>
          <a:off x="4457700" y="8943975"/>
          <a:ext cx="40957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19050</xdr:colOff>
      <xdr:row>33</xdr:row>
      <xdr:rowOff>114300</xdr:rowOff>
    </xdr:from>
    <xdr:to>
      <xdr:col>6</xdr:col>
      <xdr:colOff>714375</xdr:colOff>
      <xdr:row>33</xdr:row>
      <xdr:rowOff>114300</xdr:rowOff>
    </xdr:to>
    <xdr:sp macro="" textlink="">
      <xdr:nvSpPr>
        <xdr:cNvPr id="16454" name="Line 70"/>
        <xdr:cNvSpPr>
          <a:spLocks noChangeShapeType="1"/>
        </xdr:cNvSpPr>
      </xdr:nvSpPr>
      <xdr:spPr bwMode="auto">
        <a:xfrm>
          <a:off x="2724150" y="6610350"/>
          <a:ext cx="143827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</xdr:colOff>
      <xdr:row>33</xdr:row>
      <xdr:rowOff>85725</xdr:rowOff>
    </xdr:from>
    <xdr:to>
      <xdr:col>9</xdr:col>
      <xdr:colOff>390525</xdr:colOff>
      <xdr:row>33</xdr:row>
      <xdr:rowOff>85725</xdr:rowOff>
    </xdr:to>
    <xdr:sp macro="" textlink="">
      <xdr:nvSpPr>
        <xdr:cNvPr id="16455" name="Line 71"/>
        <xdr:cNvSpPr>
          <a:spLocks noChangeShapeType="1"/>
        </xdr:cNvSpPr>
      </xdr:nvSpPr>
      <xdr:spPr bwMode="auto">
        <a:xfrm>
          <a:off x="4886325" y="6581775"/>
          <a:ext cx="109537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9525</xdr:colOff>
      <xdr:row>40</xdr:row>
      <xdr:rowOff>142875</xdr:rowOff>
    </xdr:from>
    <xdr:to>
      <xdr:col>5</xdr:col>
      <xdr:colOff>161925</xdr:colOff>
      <xdr:row>44</xdr:row>
      <xdr:rowOff>142875</xdr:rowOff>
    </xdr:to>
    <xdr:sp macro="" textlink="">
      <xdr:nvSpPr>
        <xdr:cNvPr id="16458" name="Line 74"/>
        <xdr:cNvSpPr>
          <a:spLocks noChangeShapeType="1"/>
        </xdr:cNvSpPr>
      </xdr:nvSpPr>
      <xdr:spPr bwMode="auto">
        <a:xfrm flipH="1">
          <a:off x="2095500" y="8058150"/>
          <a:ext cx="771525" cy="79057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38100</xdr:colOff>
      <xdr:row>57</xdr:row>
      <xdr:rowOff>0</xdr:rowOff>
    </xdr:from>
    <xdr:to>
      <xdr:col>9</xdr:col>
      <xdr:colOff>247650</xdr:colOff>
      <xdr:row>60</xdr:row>
      <xdr:rowOff>133350</xdr:rowOff>
    </xdr:to>
    <xdr:sp macro="" textlink="">
      <xdr:nvSpPr>
        <xdr:cNvPr id="16459" name="Line 75"/>
        <xdr:cNvSpPr>
          <a:spLocks noChangeShapeType="1"/>
        </xdr:cNvSpPr>
      </xdr:nvSpPr>
      <xdr:spPr bwMode="auto">
        <a:xfrm flipH="1">
          <a:off x="4905375" y="11172825"/>
          <a:ext cx="933450" cy="71437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76200</xdr:colOff>
      <xdr:row>44</xdr:row>
      <xdr:rowOff>57150</xdr:rowOff>
    </xdr:from>
    <xdr:to>
      <xdr:col>8</xdr:col>
      <xdr:colOff>66675</xdr:colOff>
      <xdr:row>60</xdr:row>
      <xdr:rowOff>95250</xdr:rowOff>
    </xdr:to>
    <xdr:sp macro="" textlink="">
      <xdr:nvSpPr>
        <xdr:cNvPr id="16460" name="Line 76"/>
        <xdr:cNvSpPr>
          <a:spLocks noChangeShapeType="1"/>
        </xdr:cNvSpPr>
      </xdr:nvSpPr>
      <xdr:spPr bwMode="auto">
        <a:xfrm flipH="1" flipV="1">
          <a:off x="2162175" y="8763000"/>
          <a:ext cx="2771775" cy="308610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152400</xdr:colOff>
      <xdr:row>51</xdr:row>
      <xdr:rowOff>38100</xdr:rowOff>
    </xdr:from>
    <xdr:to>
      <xdr:col>6</xdr:col>
      <xdr:colOff>314325</xdr:colOff>
      <xdr:row>52</xdr:row>
      <xdr:rowOff>9525</xdr:rowOff>
    </xdr:to>
    <xdr:sp macro="" textlink="">
      <xdr:nvSpPr>
        <xdr:cNvPr id="16461" name="Line 77"/>
        <xdr:cNvSpPr>
          <a:spLocks noChangeShapeType="1"/>
        </xdr:cNvSpPr>
      </xdr:nvSpPr>
      <xdr:spPr bwMode="auto">
        <a:xfrm flipH="1">
          <a:off x="3600450" y="10144125"/>
          <a:ext cx="161925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oval" w="med" len="med"/>
          <a:tailEnd type="oval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438150</xdr:colOff>
      <xdr:row>36</xdr:row>
      <xdr:rowOff>57150</xdr:rowOff>
    </xdr:from>
    <xdr:to>
      <xdr:col>9</xdr:col>
      <xdr:colOff>571500</xdr:colOff>
      <xdr:row>36</xdr:row>
      <xdr:rowOff>57150</xdr:rowOff>
    </xdr:to>
    <xdr:sp macro="" textlink="">
      <xdr:nvSpPr>
        <xdr:cNvPr id="16464" name="Line 80"/>
        <xdr:cNvSpPr>
          <a:spLocks noChangeShapeType="1"/>
        </xdr:cNvSpPr>
      </xdr:nvSpPr>
      <xdr:spPr bwMode="auto">
        <a:xfrm>
          <a:off x="2524125" y="7172325"/>
          <a:ext cx="36385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400050</xdr:colOff>
      <xdr:row>40</xdr:row>
      <xdr:rowOff>114300</xdr:rowOff>
    </xdr:from>
    <xdr:to>
      <xdr:col>9</xdr:col>
      <xdr:colOff>561975</xdr:colOff>
      <xdr:row>40</xdr:row>
      <xdr:rowOff>114300</xdr:rowOff>
    </xdr:to>
    <xdr:sp macro="" textlink="">
      <xdr:nvSpPr>
        <xdr:cNvPr id="16465" name="Line 81"/>
        <xdr:cNvSpPr>
          <a:spLocks noChangeShapeType="1"/>
        </xdr:cNvSpPr>
      </xdr:nvSpPr>
      <xdr:spPr bwMode="auto">
        <a:xfrm>
          <a:off x="2486025" y="8029575"/>
          <a:ext cx="36671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47625</xdr:colOff>
      <xdr:row>38</xdr:row>
      <xdr:rowOff>114300</xdr:rowOff>
    </xdr:from>
    <xdr:to>
      <xdr:col>5</xdr:col>
      <xdr:colOff>0</xdr:colOff>
      <xdr:row>38</xdr:row>
      <xdr:rowOff>114300</xdr:rowOff>
    </xdr:to>
    <xdr:sp macro="" textlink="">
      <xdr:nvSpPr>
        <xdr:cNvPr id="16469" name="Line 85"/>
        <xdr:cNvSpPr>
          <a:spLocks noChangeShapeType="1"/>
        </xdr:cNvSpPr>
      </xdr:nvSpPr>
      <xdr:spPr bwMode="auto">
        <a:xfrm flipH="1">
          <a:off x="2133600" y="7648575"/>
          <a:ext cx="571500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lgDashDot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104775</xdr:colOff>
      <xdr:row>36</xdr:row>
      <xdr:rowOff>0</xdr:rowOff>
    </xdr:from>
    <xdr:to>
      <xdr:col>4</xdr:col>
      <xdr:colOff>104775</xdr:colOff>
      <xdr:row>38</xdr:row>
      <xdr:rowOff>114300</xdr:rowOff>
    </xdr:to>
    <xdr:sp macro="" textlink="">
      <xdr:nvSpPr>
        <xdr:cNvPr id="16470" name="Line 86"/>
        <xdr:cNvSpPr>
          <a:spLocks noChangeShapeType="1"/>
        </xdr:cNvSpPr>
      </xdr:nvSpPr>
      <xdr:spPr bwMode="auto">
        <a:xfrm flipH="1" flipV="1">
          <a:off x="2190750" y="7115175"/>
          <a:ext cx="0" cy="53340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114300</xdr:colOff>
      <xdr:row>34</xdr:row>
      <xdr:rowOff>104775</xdr:rowOff>
    </xdr:from>
    <xdr:to>
      <xdr:col>4</xdr:col>
      <xdr:colOff>114300</xdr:colOff>
      <xdr:row>36</xdr:row>
      <xdr:rowOff>0</xdr:rowOff>
    </xdr:to>
    <xdr:sp macro="" textlink="">
      <xdr:nvSpPr>
        <xdr:cNvPr id="16471" name="Line 87"/>
        <xdr:cNvSpPr>
          <a:spLocks noChangeShapeType="1"/>
        </xdr:cNvSpPr>
      </xdr:nvSpPr>
      <xdr:spPr bwMode="auto">
        <a:xfrm flipH="1" flipV="1">
          <a:off x="2200275" y="6810375"/>
          <a:ext cx="0" cy="30480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9525</xdr:colOff>
      <xdr:row>34</xdr:row>
      <xdr:rowOff>114300</xdr:rowOff>
    </xdr:from>
    <xdr:to>
      <xdr:col>4</xdr:col>
      <xdr:colOff>114300</xdr:colOff>
      <xdr:row>34</xdr:row>
      <xdr:rowOff>114300</xdr:rowOff>
    </xdr:to>
    <xdr:sp macro="" textlink="">
      <xdr:nvSpPr>
        <xdr:cNvPr id="16473" name="Line 89"/>
        <xdr:cNvSpPr>
          <a:spLocks noChangeShapeType="1"/>
        </xdr:cNvSpPr>
      </xdr:nvSpPr>
      <xdr:spPr bwMode="auto">
        <a:xfrm flipH="1">
          <a:off x="2095500" y="6819900"/>
          <a:ext cx="10477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38</xdr:row>
      <xdr:rowOff>142875</xdr:rowOff>
    </xdr:from>
    <xdr:to>
      <xdr:col>3</xdr:col>
      <xdr:colOff>390525</xdr:colOff>
      <xdr:row>39</xdr:row>
      <xdr:rowOff>133350</xdr:rowOff>
    </xdr:to>
    <xdr:sp macro="" textlink="">
      <xdr:nvSpPr>
        <xdr:cNvPr id="16476" name="Line 92"/>
        <xdr:cNvSpPr>
          <a:spLocks noChangeShapeType="1"/>
        </xdr:cNvSpPr>
      </xdr:nvSpPr>
      <xdr:spPr bwMode="auto">
        <a:xfrm flipH="1">
          <a:off x="1314450" y="7677150"/>
          <a:ext cx="38100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oval" w="med" len="med"/>
          <a:tailEnd type="oval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59</xdr:row>
      <xdr:rowOff>66675</xdr:rowOff>
    </xdr:from>
    <xdr:to>
      <xdr:col>11</xdr:col>
      <xdr:colOff>333375</xdr:colOff>
      <xdr:row>59</xdr:row>
      <xdr:rowOff>66675</xdr:rowOff>
    </xdr:to>
    <xdr:sp macro="" textlink="">
      <xdr:nvSpPr>
        <xdr:cNvPr id="16479" name="Line 95"/>
        <xdr:cNvSpPr>
          <a:spLocks noChangeShapeType="1"/>
        </xdr:cNvSpPr>
      </xdr:nvSpPr>
      <xdr:spPr bwMode="auto">
        <a:xfrm>
          <a:off x="5981700" y="11620500"/>
          <a:ext cx="130492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lgDashDot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200025</xdr:colOff>
      <xdr:row>57</xdr:row>
      <xdr:rowOff>9525</xdr:rowOff>
    </xdr:from>
    <xdr:to>
      <xdr:col>11</xdr:col>
      <xdr:colOff>200025</xdr:colOff>
      <xdr:row>59</xdr:row>
      <xdr:rowOff>66675</xdr:rowOff>
    </xdr:to>
    <xdr:sp macro="" textlink="">
      <xdr:nvSpPr>
        <xdr:cNvPr id="16480" name="Line 96"/>
        <xdr:cNvSpPr>
          <a:spLocks noChangeShapeType="1"/>
        </xdr:cNvSpPr>
      </xdr:nvSpPr>
      <xdr:spPr bwMode="auto">
        <a:xfrm>
          <a:off x="7153275" y="11182350"/>
          <a:ext cx="0" cy="4381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200025</xdr:colOff>
      <xdr:row>58</xdr:row>
      <xdr:rowOff>57150</xdr:rowOff>
    </xdr:from>
    <xdr:to>
      <xdr:col>11</xdr:col>
      <xdr:colOff>695325</xdr:colOff>
      <xdr:row>58</xdr:row>
      <xdr:rowOff>95250</xdr:rowOff>
    </xdr:to>
    <xdr:sp macro="" textlink="">
      <xdr:nvSpPr>
        <xdr:cNvPr id="16483" name="Line 99"/>
        <xdr:cNvSpPr>
          <a:spLocks noChangeShapeType="1"/>
        </xdr:cNvSpPr>
      </xdr:nvSpPr>
      <xdr:spPr bwMode="auto">
        <a:xfrm>
          <a:off x="7153275" y="11401425"/>
          <a:ext cx="495300" cy="3810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oval" w="med" len="med"/>
          <a:tailEnd type="oval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238125</xdr:colOff>
      <xdr:row>51</xdr:row>
      <xdr:rowOff>133350</xdr:rowOff>
    </xdr:from>
    <xdr:to>
      <xdr:col>9</xdr:col>
      <xdr:colOff>238125</xdr:colOff>
      <xdr:row>57</xdr:row>
      <xdr:rowOff>9525</xdr:rowOff>
    </xdr:to>
    <xdr:sp macro="" textlink="">
      <xdr:nvSpPr>
        <xdr:cNvPr id="16484" name="Line 100"/>
        <xdr:cNvSpPr>
          <a:spLocks noChangeShapeType="1"/>
        </xdr:cNvSpPr>
      </xdr:nvSpPr>
      <xdr:spPr bwMode="auto">
        <a:xfrm flipV="1">
          <a:off x="5829300" y="10239375"/>
          <a:ext cx="0" cy="94297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52</xdr:row>
      <xdr:rowOff>57150</xdr:rowOff>
    </xdr:from>
    <xdr:to>
      <xdr:col>9</xdr:col>
      <xdr:colOff>247650</xdr:colOff>
      <xdr:row>52</xdr:row>
      <xdr:rowOff>57150</xdr:rowOff>
    </xdr:to>
    <xdr:sp macro="" textlink="">
      <xdr:nvSpPr>
        <xdr:cNvPr id="16485" name="Line 101"/>
        <xdr:cNvSpPr>
          <a:spLocks noChangeShapeType="1"/>
        </xdr:cNvSpPr>
      </xdr:nvSpPr>
      <xdr:spPr bwMode="auto">
        <a:xfrm flipH="1">
          <a:off x="5391150" y="10372725"/>
          <a:ext cx="44767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52</xdr:row>
      <xdr:rowOff>76200</xdr:rowOff>
    </xdr:from>
    <xdr:to>
      <xdr:col>9</xdr:col>
      <xdr:colOff>581025</xdr:colOff>
      <xdr:row>52</xdr:row>
      <xdr:rowOff>76200</xdr:rowOff>
    </xdr:to>
    <xdr:sp macro="" textlink="">
      <xdr:nvSpPr>
        <xdr:cNvPr id="16486" name="Line 102"/>
        <xdr:cNvSpPr>
          <a:spLocks noChangeShapeType="1"/>
        </xdr:cNvSpPr>
      </xdr:nvSpPr>
      <xdr:spPr bwMode="auto">
        <a:xfrm flipH="1">
          <a:off x="5981700" y="10391775"/>
          <a:ext cx="190500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171450</xdr:colOff>
      <xdr:row>40</xdr:row>
      <xdr:rowOff>152400</xdr:rowOff>
    </xdr:from>
    <xdr:to>
      <xdr:col>5</xdr:col>
      <xdr:colOff>171450</xdr:colOff>
      <xdr:row>44</xdr:row>
      <xdr:rowOff>9525</xdr:rowOff>
    </xdr:to>
    <xdr:sp macro="" textlink="">
      <xdr:nvSpPr>
        <xdr:cNvPr id="16487" name="Line 103"/>
        <xdr:cNvSpPr>
          <a:spLocks noChangeShapeType="1"/>
        </xdr:cNvSpPr>
      </xdr:nvSpPr>
      <xdr:spPr bwMode="auto">
        <a:xfrm>
          <a:off x="2876550" y="8067675"/>
          <a:ext cx="0" cy="64770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28575</xdr:colOff>
      <xdr:row>43</xdr:row>
      <xdr:rowOff>123825</xdr:rowOff>
    </xdr:from>
    <xdr:to>
      <xdr:col>5</xdr:col>
      <xdr:colOff>19050</xdr:colOff>
      <xdr:row>43</xdr:row>
      <xdr:rowOff>123825</xdr:rowOff>
    </xdr:to>
    <xdr:sp macro="" textlink="">
      <xdr:nvSpPr>
        <xdr:cNvPr id="16488" name="Line 104"/>
        <xdr:cNvSpPr>
          <a:spLocks noChangeShapeType="1"/>
        </xdr:cNvSpPr>
      </xdr:nvSpPr>
      <xdr:spPr bwMode="auto">
        <a:xfrm flipH="1">
          <a:off x="1333500" y="8620125"/>
          <a:ext cx="1390650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43</xdr:row>
      <xdr:rowOff>123825</xdr:rowOff>
    </xdr:from>
    <xdr:to>
      <xdr:col>5</xdr:col>
      <xdr:colOff>438150</xdr:colOff>
      <xdr:row>43</xdr:row>
      <xdr:rowOff>123825</xdr:rowOff>
    </xdr:to>
    <xdr:sp macro="" textlink="">
      <xdr:nvSpPr>
        <xdr:cNvPr id="16489" name="Line 105"/>
        <xdr:cNvSpPr>
          <a:spLocks noChangeShapeType="1"/>
        </xdr:cNvSpPr>
      </xdr:nvSpPr>
      <xdr:spPr bwMode="auto">
        <a:xfrm>
          <a:off x="2886075" y="8620125"/>
          <a:ext cx="25717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314325</xdr:colOff>
      <xdr:row>37</xdr:row>
      <xdr:rowOff>38100</xdr:rowOff>
    </xdr:from>
    <xdr:to>
      <xdr:col>5</xdr:col>
      <xdr:colOff>314325</xdr:colOff>
      <xdr:row>40</xdr:row>
      <xdr:rowOff>142875</xdr:rowOff>
    </xdr:to>
    <xdr:sp macro="" textlink="">
      <xdr:nvSpPr>
        <xdr:cNvPr id="16492" name="Line 108"/>
        <xdr:cNvSpPr>
          <a:spLocks noChangeShapeType="1"/>
        </xdr:cNvSpPr>
      </xdr:nvSpPr>
      <xdr:spPr bwMode="auto">
        <a:xfrm flipV="1">
          <a:off x="3019425" y="7362825"/>
          <a:ext cx="0" cy="6953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lgDashDot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314325</xdr:colOff>
      <xdr:row>37</xdr:row>
      <xdr:rowOff>95250</xdr:rowOff>
    </xdr:from>
    <xdr:to>
      <xdr:col>5</xdr:col>
      <xdr:colOff>733425</xdr:colOff>
      <xdr:row>37</xdr:row>
      <xdr:rowOff>95250</xdr:rowOff>
    </xdr:to>
    <xdr:sp macro="" textlink="">
      <xdr:nvSpPr>
        <xdr:cNvPr id="16493" name="Line 109"/>
        <xdr:cNvSpPr>
          <a:spLocks noChangeShapeType="1"/>
        </xdr:cNvSpPr>
      </xdr:nvSpPr>
      <xdr:spPr bwMode="auto">
        <a:xfrm>
          <a:off x="3019425" y="7419975"/>
          <a:ext cx="419100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323850</xdr:colOff>
      <xdr:row>37</xdr:row>
      <xdr:rowOff>95250</xdr:rowOff>
    </xdr:from>
    <xdr:to>
      <xdr:col>5</xdr:col>
      <xdr:colOff>0</xdr:colOff>
      <xdr:row>37</xdr:row>
      <xdr:rowOff>95250</xdr:rowOff>
    </xdr:to>
    <xdr:sp macro="" textlink="">
      <xdr:nvSpPr>
        <xdr:cNvPr id="16494" name="Line 110"/>
        <xdr:cNvSpPr>
          <a:spLocks noChangeShapeType="1"/>
        </xdr:cNvSpPr>
      </xdr:nvSpPr>
      <xdr:spPr bwMode="auto">
        <a:xfrm flipH="1">
          <a:off x="2409825" y="7419975"/>
          <a:ext cx="29527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57150</xdr:colOff>
      <xdr:row>39</xdr:row>
      <xdr:rowOff>38100</xdr:rowOff>
    </xdr:from>
    <xdr:to>
      <xdr:col>9</xdr:col>
      <xdr:colOff>57150</xdr:colOff>
      <xdr:row>57</xdr:row>
      <xdr:rowOff>0</xdr:rowOff>
    </xdr:to>
    <xdr:sp macro="" textlink="">
      <xdr:nvSpPr>
        <xdr:cNvPr id="16495" name="Line 111"/>
        <xdr:cNvSpPr>
          <a:spLocks noChangeShapeType="1"/>
        </xdr:cNvSpPr>
      </xdr:nvSpPr>
      <xdr:spPr bwMode="auto">
        <a:xfrm flipH="1" flipV="1">
          <a:off x="5648325" y="7743825"/>
          <a:ext cx="0" cy="342900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lgDashDot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390525</xdr:colOff>
      <xdr:row>49</xdr:row>
      <xdr:rowOff>76200</xdr:rowOff>
    </xdr:from>
    <xdr:to>
      <xdr:col>9</xdr:col>
      <xdr:colOff>57150</xdr:colOff>
      <xdr:row>49</xdr:row>
      <xdr:rowOff>76200</xdr:rowOff>
    </xdr:to>
    <xdr:sp macro="" textlink="">
      <xdr:nvSpPr>
        <xdr:cNvPr id="16496" name="Line 112"/>
        <xdr:cNvSpPr>
          <a:spLocks noChangeShapeType="1"/>
        </xdr:cNvSpPr>
      </xdr:nvSpPr>
      <xdr:spPr bwMode="auto">
        <a:xfrm flipH="1">
          <a:off x="5257800" y="9763125"/>
          <a:ext cx="39052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49</xdr:row>
      <xdr:rowOff>76200</xdr:rowOff>
    </xdr:from>
    <xdr:to>
      <xdr:col>10</xdr:col>
      <xdr:colOff>28575</xdr:colOff>
      <xdr:row>49</xdr:row>
      <xdr:rowOff>76200</xdr:rowOff>
    </xdr:to>
    <xdr:sp macro="" textlink="">
      <xdr:nvSpPr>
        <xdr:cNvPr id="16497" name="Line 113"/>
        <xdr:cNvSpPr>
          <a:spLocks noChangeShapeType="1"/>
        </xdr:cNvSpPr>
      </xdr:nvSpPr>
      <xdr:spPr bwMode="auto">
        <a:xfrm>
          <a:off x="6000750" y="9763125"/>
          <a:ext cx="228600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295275</xdr:colOff>
      <xdr:row>39</xdr:row>
      <xdr:rowOff>133350</xdr:rowOff>
    </xdr:from>
    <xdr:to>
      <xdr:col>6</xdr:col>
      <xdr:colOff>742950</xdr:colOff>
      <xdr:row>39</xdr:row>
      <xdr:rowOff>133350</xdr:rowOff>
    </xdr:to>
    <xdr:sp macro="" textlink="">
      <xdr:nvSpPr>
        <xdr:cNvPr id="16504" name="Line 120"/>
        <xdr:cNvSpPr>
          <a:spLocks noChangeShapeType="1"/>
        </xdr:cNvSpPr>
      </xdr:nvSpPr>
      <xdr:spPr bwMode="auto">
        <a:xfrm>
          <a:off x="3000375" y="7839075"/>
          <a:ext cx="119062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39</xdr:row>
      <xdr:rowOff>133350</xdr:rowOff>
    </xdr:from>
    <xdr:to>
      <xdr:col>9</xdr:col>
      <xdr:colOff>47625</xdr:colOff>
      <xdr:row>39</xdr:row>
      <xdr:rowOff>133350</xdr:rowOff>
    </xdr:to>
    <xdr:sp macro="" textlink="">
      <xdr:nvSpPr>
        <xdr:cNvPr id="16505" name="Line 121"/>
        <xdr:cNvSpPr>
          <a:spLocks noChangeShapeType="1"/>
        </xdr:cNvSpPr>
      </xdr:nvSpPr>
      <xdr:spPr bwMode="auto">
        <a:xfrm>
          <a:off x="4867275" y="7839075"/>
          <a:ext cx="77152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228600</xdr:colOff>
      <xdr:row>57</xdr:row>
      <xdr:rowOff>28575</xdr:rowOff>
    </xdr:from>
    <xdr:to>
      <xdr:col>4</xdr:col>
      <xdr:colOff>266700</xdr:colOff>
      <xdr:row>57</xdr:row>
      <xdr:rowOff>28575</xdr:rowOff>
    </xdr:to>
    <xdr:sp macro="" textlink="">
      <xdr:nvSpPr>
        <xdr:cNvPr id="16506" name="Line 122"/>
        <xdr:cNvSpPr>
          <a:spLocks noChangeShapeType="1"/>
        </xdr:cNvSpPr>
      </xdr:nvSpPr>
      <xdr:spPr bwMode="auto">
        <a:xfrm flipH="1">
          <a:off x="1533525" y="11201400"/>
          <a:ext cx="819150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381000</xdr:colOff>
      <xdr:row>40</xdr:row>
      <xdr:rowOff>152400</xdr:rowOff>
    </xdr:from>
    <xdr:to>
      <xdr:col>3</xdr:col>
      <xdr:colOff>381000</xdr:colOff>
      <xdr:row>47</xdr:row>
      <xdr:rowOff>133350</xdr:rowOff>
    </xdr:to>
    <xdr:sp macro="" textlink="">
      <xdr:nvSpPr>
        <xdr:cNvPr id="16507" name="Line 123"/>
        <xdr:cNvSpPr>
          <a:spLocks noChangeShapeType="1"/>
        </xdr:cNvSpPr>
      </xdr:nvSpPr>
      <xdr:spPr bwMode="auto">
        <a:xfrm>
          <a:off x="1685925" y="8067675"/>
          <a:ext cx="0" cy="136207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361950</xdr:colOff>
      <xdr:row>50</xdr:row>
      <xdr:rowOff>9525</xdr:rowOff>
    </xdr:from>
    <xdr:to>
      <xdr:col>3</xdr:col>
      <xdr:colOff>361950</xdr:colOff>
      <xdr:row>57</xdr:row>
      <xdr:rowOff>0</xdr:rowOff>
    </xdr:to>
    <xdr:sp macro="" textlink="">
      <xdr:nvSpPr>
        <xdr:cNvPr id="16508" name="Line 124"/>
        <xdr:cNvSpPr>
          <a:spLocks noChangeShapeType="1"/>
        </xdr:cNvSpPr>
      </xdr:nvSpPr>
      <xdr:spPr bwMode="auto">
        <a:xfrm flipV="1">
          <a:off x="1666875" y="9906000"/>
          <a:ext cx="0" cy="12668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5</xdr:col>
      <xdr:colOff>447675</xdr:colOff>
      <xdr:row>34</xdr:row>
      <xdr:rowOff>47625</xdr:rowOff>
    </xdr:from>
    <xdr:ext cx="444500" cy="215900"/>
    <xdr:sp macro="" textlink="">
      <xdr:nvSpPr>
        <xdr:cNvPr id="16515" name="AutoShape 131"/>
        <xdr:cNvSpPr>
          <a:spLocks/>
        </xdr:cNvSpPr>
      </xdr:nvSpPr>
      <xdr:spPr bwMode="auto">
        <a:xfrm>
          <a:off x="3152775" y="6753225"/>
          <a:ext cx="438150" cy="209550"/>
        </a:xfrm>
        <a:prstGeom prst="borderCallout2">
          <a:avLst>
            <a:gd name="adj1" fmla="val 54546"/>
            <a:gd name="adj2" fmla="val -19046"/>
            <a:gd name="adj3" fmla="val 54546"/>
            <a:gd name="adj4" fmla="val -38097"/>
            <a:gd name="adj5" fmla="val 427273"/>
            <a:gd name="adj6" fmla="val -114287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FF0000"/>
              </a:solidFill>
              <a:latin typeface="Arial"/>
              <a:cs typeface="Arial"/>
            </a:rPr>
            <a:t>W.P.</a:t>
          </a:r>
        </a:p>
      </xdr:txBody>
    </xdr:sp>
    <xdr:clientData/>
  </xdr:oneCellAnchor>
  <xdr:oneCellAnchor>
    <xdr:from>
      <xdr:col>10</xdr:col>
      <xdr:colOff>257175</xdr:colOff>
      <xdr:row>54</xdr:row>
      <xdr:rowOff>38100</xdr:rowOff>
    </xdr:from>
    <xdr:ext cx="438150" cy="212725"/>
    <xdr:sp macro="" textlink="">
      <xdr:nvSpPr>
        <xdr:cNvPr id="16516" name="AutoShape 132"/>
        <xdr:cNvSpPr>
          <a:spLocks/>
        </xdr:cNvSpPr>
      </xdr:nvSpPr>
      <xdr:spPr bwMode="auto">
        <a:xfrm>
          <a:off x="6457950" y="10725150"/>
          <a:ext cx="438150" cy="209550"/>
        </a:xfrm>
        <a:prstGeom prst="borderCallout2">
          <a:avLst>
            <a:gd name="adj1" fmla="val 54546"/>
            <a:gd name="adj2" fmla="val -19046"/>
            <a:gd name="adj3" fmla="val 54546"/>
            <a:gd name="adj4" fmla="val -42856"/>
            <a:gd name="adj5" fmla="val 422727"/>
            <a:gd name="adj6" fmla="val -111903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FF0000"/>
              </a:solidFill>
              <a:latin typeface="Arial"/>
              <a:cs typeface="Arial"/>
            </a:rPr>
            <a:t>W.P.</a:t>
          </a:r>
        </a:p>
      </xdr:txBody>
    </xdr:sp>
    <xdr:clientData/>
  </xdr:oneCellAnchor>
  <xdr:twoCellAnchor>
    <xdr:from>
      <xdr:col>4</xdr:col>
      <xdr:colOff>400050</xdr:colOff>
      <xdr:row>72</xdr:row>
      <xdr:rowOff>152400</xdr:rowOff>
    </xdr:from>
    <xdr:to>
      <xdr:col>10</xdr:col>
      <xdr:colOff>314325</xdr:colOff>
      <xdr:row>72</xdr:row>
      <xdr:rowOff>152400</xdr:rowOff>
    </xdr:to>
    <xdr:sp macro="" textlink="">
      <xdr:nvSpPr>
        <xdr:cNvPr id="16519" name="Line 135"/>
        <xdr:cNvSpPr>
          <a:spLocks noChangeShapeType="1"/>
        </xdr:cNvSpPr>
      </xdr:nvSpPr>
      <xdr:spPr bwMode="auto">
        <a:xfrm>
          <a:off x="2486025" y="14268450"/>
          <a:ext cx="402907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428625</xdr:colOff>
      <xdr:row>68</xdr:row>
      <xdr:rowOff>9525</xdr:rowOff>
    </xdr:from>
    <xdr:to>
      <xdr:col>10</xdr:col>
      <xdr:colOff>200025</xdr:colOff>
      <xdr:row>68</xdr:row>
      <xdr:rowOff>19050</xdr:rowOff>
    </xdr:to>
    <xdr:sp macro="" textlink="">
      <xdr:nvSpPr>
        <xdr:cNvPr id="16520" name="Line 136"/>
        <xdr:cNvSpPr>
          <a:spLocks noChangeShapeType="1"/>
        </xdr:cNvSpPr>
      </xdr:nvSpPr>
      <xdr:spPr bwMode="auto">
        <a:xfrm flipV="1">
          <a:off x="2514600" y="13315950"/>
          <a:ext cx="3886200" cy="95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590550</xdr:colOff>
      <xdr:row>65</xdr:row>
      <xdr:rowOff>57150</xdr:rowOff>
    </xdr:from>
    <xdr:to>
      <xdr:col>5</xdr:col>
      <xdr:colOff>9525</xdr:colOff>
      <xdr:row>91</xdr:row>
      <xdr:rowOff>9525</xdr:rowOff>
    </xdr:to>
    <xdr:sp macro="" textlink="">
      <xdr:nvSpPr>
        <xdr:cNvPr id="16521" name="Line 137"/>
        <xdr:cNvSpPr>
          <a:spLocks noChangeShapeType="1"/>
        </xdr:cNvSpPr>
      </xdr:nvSpPr>
      <xdr:spPr bwMode="auto">
        <a:xfrm>
          <a:off x="2676525" y="12734925"/>
          <a:ext cx="38100" cy="497205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lgDashDot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361950</xdr:colOff>
      <xdr:row>68</xdr:row>
      <xdr:rowOff>9525</xdr:rowOff>
    </xdr:from>
    <xdr:to>
      <xdr:col>4</xdr:col>
      <xdr:colOff>381000</xdr:colOff>
      <xdr:row>68</xdr:row>
      <xdr:rowOff>9525</xdr:rowOff>
    </xdr:to>
    <xdr:sp macro="" textlink="">
      <xdr:nvSpPr>
        <xdr:cNvPr id="16523" name="Line 139"/>
        <xdr:cNvSpPr>
          <a:spLocks noChangeShapeType="1"/>
        </xdr:cNvSpPr>
      </xdr:nvSpPr>
      <xdr:spPr bwMode="auto">
        <a:xfrm flipH="1">
          <a:off x="1666875" y="13315950"/>
          <a:ext cx="8001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323850</xdr:colOff>
      <xdr:row>72</xdr:row>
      <xdr:rowOff>152400</xdr:rowOff>
    </xdr:from>
    <xdr:to>
      <xdr:col>4</xdr:col>
      <xdr:colOff>352425</xdr:colOff>
      <xdr:row>72</xdr:row>
      <xdr:rowOff>152400</xdr:rowOff>
    </xdr:to>
    <xdr:sp macro="" textlink="">
      <xdr:nvSpPr>
        <xdr:cNvPr id="16524" name="Line 140"/>
        <xdr:cNvSpPr>
          <a:spLocks noChangeShapeType="1"/>
        </xdr:cNvSpPr>
      </xdr:nvSpPr>
      <xdr:spPr bwMode="auto">
        <a:xfrm flipH="1">
          <a:off x="1628775" y="14268450"/>
          <a:ext cx="80962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390525</xdr:colOff>
      <xdr:row>68</xdr:row>
      <xdr:rowOff>19050</xdr:rowOff>
    </xdr:from>
    <xdr:to>
      <xdr:col>3</xdr:col>
      <xdr:colOff>390525</xdr:colOff>
      <xdr:row>72</xdr:row>
      <xdr:rowOff>152400</xdr:rowOff>
    </xdr:to>
    <xdr:sp macro="" textlink="">
      <xdr:nvSpPr>
        <xdr:cNvPr id="16525" name="Line 141"/>
        <xdr:cNvSpPr>
          <a:spLocks noChangeShapeType="1"/>
        </xdr:cNvSpPr>
      </xdr:nvSpPr>
      <xdr:spPr bwMode="auto">
        <a:xfrm>
          <a:off x="1695450" y="13325475"/>
          <a:ext cx="0" cy="94297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238125</xdr:colOff>
      <xdr:row>65</xdr:row>
      <xdr:rowOff>28575</xdr:rowOff>
    </xdr:from>
    <xdr:to>
      <xdr:col>9</xdr:col>
      <xdr:colOff>247650</xdr:colOff>
      <xdr:row>91</xdr:row>
      <xdr:rowOff>85725</xdr:rowOff>
    </xdr:to>
    <xdr:sp macro="" textlink="">
      <xdr:nvSpPr>
        <xdr:cNvPr id="16526" name="Line 142"/>
        <xdr:cNvSpPr>
          <a:spLocks noChangeShapeType="1"/>
        </xdr:cNvSpPr>
      </xdr:nvSpPr>
      <xdr:spPr bwMode="auto">
        <a:xfrm>
          <a:off x="5829300" y="12706350"/>
          <a:ext cx="9525" cy="50768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lgDashDot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161925</xdr:colOff>
      <xdr:row>72</xdr:row>
      <xdr:rowOff>142875</xdr:rowOff>
    </xdr:from>
    <xdr:to>
      <xdr:col>9</xdr:col>
      <xdr:colOff>28575</xdr:colOff>
      <xdr:row>89</xdr:row>
      <xdr:rowOff>142875</xdr:rowOff>
    </xdr:to>
    <xdr:sp macro="" textlink="">
      <xdr:nvSpPr>
        <xdr:cNvPr id="16527" name="Line 143"/>
        <xdr:cNvSpPr>
          <a:spLocks noChangeShapeType="1"/>
        </xdr:cNvSpPr>
      </xdr:nvSpPr>
      <xdr:spPr bwMode="auto">
        <a:xfrm>
          <a:off x="2867025" y="14258925"/>
          <a:ext cx="2752725" cy="320992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457200</xdr:colOff>
      <xdr:row>72</xdr:row>
      <xdr:rowOff>142875</xdr:rowOff>
    </xdr:from>
    <xdr:to>
      <xdr:col>9</xdr:col>
      <xdr:colOff>47625</xdr:colOff>
      <xdr:row>87</xdr:row>
      <xdr:rowOff>142875</xdr:rowOff>
    </xdr:to>
    <xdr:sp macro="" textlink="">
      <xdr:nvSpPr>
        <xdr:cNvPr id="16528" name="Line 144"/>
        <xdr:cNvSpPr>
          <a:spLocks noChangeShapeType="1"/>
        </xdr:cNvSpPr>
      </xdr:nvSpPr>
      <xdr:spPr bwMode="auto">
        <a:xfrm flipH="1" flipV="1">
          <a:off x="3162300" y="14258925"/>
          <a:ext cx="2476500" cy="288607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70</xdr:row>
      <xdr:rowOff>114300</xdr:rowOff>
    </xdr:from>
    <xdr:to>
      <xdr:col>9</xdr:col>
      <xdr:colOff>219075</xdr:colOff>
      <xdr:row>90</xdr:row>
      <xdr:rowOff>66675</xdr:rowOff>
    </xdr:to>
    <xdr:sp macro="" textlink="">
      <xdr:nvSpPr>
        <xdr:cNvPr id="16529" name="Line 145"/>
        <xdr:cNvSpPr>
          <a:spLocks noChangeShapeType="1"/>
        </xdr:cNvSpPr>
      </xdr:nvSpPr>
      <xdr:spPr bwMode="auto">
        <a:xfrm flipH="1" flipV="1">
          <a:off x="2705100" y="13849350"/>
          <a:ext cx="3105150" cy="37052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lgDashDot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276225</xdr:colOff>
      <xdr:row>68</xdr:row>
      <xdr:rowOff>28575</xdr:rowOff>
    </xdr:from>
    <xdr:to>
      <xdr:col>12</xdr:col>
      <xdr:colOff>466725</xdr:colOff>
      <xdr:row>68</xdr:row>
      <xdr:rowOff>28575</xdr:rowOff>
    </xdr:to>
    <xdr:sp macro="" textlink="">
      <xdr:nvSpPr>
        <xdr:cNvPr id="16530" name="Line 146"/>
        <xdr:cNvSpPr>
          <a:spLocks noChangeShapeType="1"/>
        </xdr:cNvSpPr>
      </xdr:nvSpPr>
      <xdr:spPr bwMode="auto">
        <a:xfrm flipV="1">
          <a:off x="6477000" y="13335000"/>
          <a:ext cx="1676400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314325</xdr:colOff>
      <xdr:row>68</xdr:row>
      <xdr:rowOff>38100</xdr:rowOff>
    </xdr:from>
    <xdr:to>
      <xdr:col>12</xdr:col>
      <xdr:colOff>333375</xdr:colOff>
      <xdr:row>90</xdr:row>
      <xdr:rowOff>66675</xdr:rowOff>
    </xdr:to>
    <xdr:sp macro="" textlink="">
      <xdr:nvSpPr>
        <xdr:cNvPr id="16532" name="Line 148"/>
        <xdr:cNvSpPr>
          <a:spLocks noChangeShapeType="1"/>
        </xdr:cNvSpPr>
      </xdr:nvSpPr>
      <xdr:spPr bwMode="auto">
        <a:xfrm flipV="1">
          <a:off x="8001000" y="13344525"/>
          <a:ext cx="19050" cy="421005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333375</xdr:colOff>
      <xdr:row>78</xdr:row>
      <xdr:rowOff>95250</xdr:rowOff>
    </xdr:from>
    <xdr:to>
      <xdr:col>12</xdr:col>
      <xdr:colOff>714375</xdr:colOff>
      <xdr:row>78</xdr:row>
      <xdr:rowOff>95250</xdr:rowOff>
    </xdr:to>
    <xdr:sp macro="" textlink="">
      <xdr:nvSpPr>
        <xdr:cNvPr id="16533" name="Line 149"/>
        <xdr:cNvSpPr>
          <a:spLocks noChangeShapeType="1"/>
        </xdr:cNvSpPr>
      </xdr:nvSpPr>
      <xdr:spPr bwMode="auto">
        <a:xfrm flipH="1">
          <a:off x="8020050" y="15373350"/>
          <a:ext cx="3810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oval" w="med" len="med"/>
          <a:tailEnd type="oval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180975</xdr:colOff>
      <xdr:row>79</xdr:row>
      <xdr:rowOff>47625</xdr:rowOff>
    </xdr:from>
    <xdr:to>
      <xdr:col>6</xdr:col>
      <xdr:colOff>514350</xdr:colOff>
      <xdr:row>80</xdr:row>
      <xdr:rowOff>123825</xdr:rowOff>
    </xdr:to>
    <xdr:sp macro="" textlink="">
      <xdr:nvSpPr>
        <xdr:cNvPr id="16534" name="Line 150"/>
        <xdr:cNvSpPr>
          <a:spLocks noChangeShapeType="1"/>
        </xdr:cNvSpPr>
      </xdr:nvSpPr>
      <xdr:spPr bwMode="auto">
        <a:xfrm flipH="1">
          <a:off x="3629025" y="15535275"/>
          <a:ext cx="333375" cy="2762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685800</xdr:colOff>
      <xdr:row>77</xdr:row>
      <xdr:rowOff>57150</xdr:rowOff>
    </xdr:from>
    <xdr:to>
      <xdr:col>7</xdr:col>
      <xdr:colOff>257175</xdr:colOff>
      <xdr:row>78</xdr:row>
      <xdr:rowOff>104775</xdr:rowOff>
    </xdr:to>
    <xdr:sp macro="" textlink="">
      <xdr:nvSpPr>
        <xdr:cNvPr id="16535" name="Line 151"/>
        <xdr:cNvSpPr>
          <a:spLocks noChangeShapeType="1"/>
        </xdr:cNvSpPr>
      </xdr:nvSpPr>
      <xdr:spPr bwMode="auto">
        <a:xfrm flipV="1">
          <a:off x="4133850" y="15135225"/>
          <a:ext cx="333375" cy="24765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247650</xdr:colOff>
      <xdr:row>77</xdr:row>
      <xdr:rowOff>66675</xdr:rowOff>
    </xdr:from>
    <xdr:to>
      <xdr:col>8</xdr:col>
      <xdr:colOff>0</xdr:colOff>
      <xdr:row>77</xdr:row>
      <xdr:rowOff>66675</xdr:rowOff>
    </xdr:to>
    <xdr:sp macro="" textlink="">
      <xdr:nvSpPr>
        <xdr:cNvPr id="16536" name="Line 152"/>
        <xdr:cNvSpPr>
          <a:spLocks noChangeShapeType="1"/>
        </xdr:cNvSpPr>
      </xdr:nvSpPr>
      <xdr:spPr bwMode="auto">
        <a:xfrm>
          <a:off x="4457700" y="15144750"/>
          <a:ext cx="40957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19050</xdr:colOff>
      <xdr:row>65</xdr:row>
      <xdr:rowOff>114300</xdr:rowOff>
    </xdr:from>
    <xdr:to>
      <xdr:col>6</xdr:col>
      <xdr:colOff>714375</xdr:colOff>
      <xdr:row>65</xdr:row>
      <xdr:rowOff>114300</xdr:rowOff>
    </xdr:to>
    <xdr:sp macro="" textlink="">
      <xdr:nvSpPr>
        <xdr:cNvPr id="16537" name="Line 153"/>
        <xdr:cNvSpPr>
          <a:spLocks noChangeShapeType="1"/>
        </xdr:cNvSpPr>
      </xdr:nvSpPr>
      <xdr:spPr bwMode="auto">
        <a:xfrm>
          <a:off x="2724150" y="12792075"/>
          <a:ext cx="143827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</xdr:colOff>
      <xdr:row>65</xdr:row>
      <xdr:rowOff>85725</xdr:rowOff>
    </xdr:from>
    <xdr:to>
      <xdr:col>9</xdr:col>
      <xdr:colOff>257175</xdr:colOff>
      <xdr:row>65</xdr:row>
      <xdr:rowOff>85725</xdr:rowOff>
    </xdr:to>
    <xdr:sp macro="" textlink="">
      <xdr:nvSpPr>
        <xdr:cNvPr id="16538" name="Line 154"/>
        <xdr:cNvSpPr>
          <a:spLocks noChangeShapeType="1"/>
        </xdr:cNvSpPr>
      </xdr:nvSpPr>
      <xdr:spPr bwMode="auto">
        <a:xfrm>
          <a:off x="4886325" y="12763500"/>
          <a:ext cx="96202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9525</xdr:colOff>
      <xdr:row>72</xdr:row>
      <xdr:rowOff>142875</xdr:rowOff>
    </xdr:from>
    <xdr:to>
      <xdr:col>5</xdr:col>
      <xdr:colOff>161925</xdr:colOff>
      <xdr:row>76</xdr:row>
      <xdr:rowOff>142875</xdr:rowOff>
    </xdr:to>
    <xdr:sp macro="" textlink="">
      <xdr:nvSpPr>
        <xdr:cNvPr id="16539" name="Line 155"/>
        <xdr:cNvSpPr>
          <a:spLocks noChangeShapeType="1"/>
        </xdr:cNvSpPr>
      </xdr:nvSpPr>
      <xdr:spPr bwMode="auto">
        <a:xfrm flipH="1">
          <a:off x="2095500" y="14258925"/>
          <a:ext cx="771525" cy="79057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38100</xdr:colOff>
      <xdr:row>89</xdr:row>
      <xdr:rowOff>123825</xdr:rowOff>
    </xdr:from>
    <xdr:to>
      <xdr:col>9</xdr:col>
      <xdr:colOff>47625</xdr:colOff>
      <xdr:row>92</xdr:row>
      <xdr:rowOff>133350</xdr:rowOff>
    </xdr:to>
    <xdr:sp macro="" textlink="">
      <xdr:nvSpPr>
        <xdr:cNvPr id="16540" name="Line 156"/>
        <xdr:cNvSpPr>
          <a:spLocks noChangeShapeType="1"/>
        </xdr:cNvSpPr>
      </xdr:nvSpPr>
      <xdr:spPr bwMode="auto">
        <a:xfrm flipH="1">
          <a:off x="4905375" y="17449800"/>
          <a:ext cx="733425" cy="59055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76200</xdr:colOff>
      <xdr:row>76</xdr:row>
      <xdr:rowOff>57150</xdr:rowOff>
    </xdr:from>
    <xdr:to>
      <xdr:col>8</xdr:col>
      <xdr:colOff>66675</xdr:colOff>
      <xdr:row>92</xdr:row>
      <xdr:rowOff>95250</xdr:rowOff>
    </xdr:to>
    <xdr:sp macro="" textlink="">
      <xdr:nvSpPr>
        <xdr:cNvPr id="16541" name="Line 157"/>
        <xdr:cNvSpPr>
          <a:spLocks noChangeShapeType="1"/>
        </xdr:cNvSpPr>
      </xdr:nvSpPr>
      <xdr:spPr bwMode="auto">
        <a:xfrm flipH="1" flipV="1">
          <a:off x="2162175" y="14963775"/>
          <a:ext cx="2771775" cy="303847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152400</xdr:colOff>
      <xdr:row>83</xdr:row>
      <xdr:rowOff>38100</xdr:rowOff>
    </xdr:from>
    <xdr:to>
      <xdr:col>6</xdr:col>
      <xdr:colOff>314325</xdr:colOff>
      <xdr:row>84</xdr:row>
      <xdr:rowOff>9525</xdr:rowOff>
    </xdr:to>
    <xdr:sp macro="" textlink="">
      <xdr:nvSpPr>
        <xdr:cNvPr id="16542" name="Line 158"/>
        <xdr:cNvSpPr>
          <a:spLocks noChangeShapeType="1"/>
        </xdr:cNvSpPr>
      </xdr:nvSpPr>
      <xdr:spPr bwMode="auto">
        <a:xfrm flipH="1">
          <a:off x="3600450" y="16316325"/>
          <a:ext cx="161925" cy="1714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oval" w="med" len="med"/>
          <a:tailEnd type="oval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447675</xdr:colOff>
      <xdr:row>68</xdr:row>
      <xdr:rowOff>47625</xdr:rowOff>
    </xdr:from>
    <xdr:to>
      <xdr:col>10</xdr:col>
      <xdr:colOff>180975</xdr:colOff>
      <xdr:row>68</xdr:row>
      <xdr:rowOff>47625</xdr:rowOff>
    </xdr:to>
    <xdr:sp macro="" textlink="">
      <xdr:nvSpPr>
        <xdr:cNvPr id="16543" name="Line 159"/>
        <xdr:cNvSpPr>
          <a:spLocks noChangeShapeType="1"/>
        </xdr:cNvSpPr>
      </xdr:nvSpPr>
      <xdr:spPr bwMode="auto">
        <a:xfrm flipV="1">
          <a:off x="2533650" y="13354050"/>
          <a:ext cx="38481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400050</xdr:colOff>
      <xdr:row>72</xdr:row>
      <xdr:rowOff>114300</xdr:rowOff>
    </xdr:from>
    <xdr:to>
      <xdr:col>10</xdr:col>
      <xdr:colOff>238125</xdr:colOff>
      <xdr:row>72</xdr:row>
      <xdr:rowOff>114300</xdr:rowOff>
    </xdr:to>
    <xdr:sp macro="" textlink="">
      <xdr:nvSpPr>
        <xdr:cNvPr id="16544" name="Line 160"/>
        <xdr:cNvSpPr>
          <a:spLocks noChangeShapeType="1"/>
        </xdr:cNvSpPr>
      </xdr:nvSpPr>
      <xdr:spPr bwMode="auto">
        <a:xfrm>
          <a:off x="2486025" y="14230350"/>
          <a:ext cx="39528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47625</xdr:colOff>
      <xdr:row>70</xdr:row>
      <xdr:rowOff>114300</xdr:rowOff>
    </xdr:from>
    <xdr:to>
      <xdr:col>5</xdr:col>
      <xdr:colOff>0</xdr:colOff>
      <xdr:row>70</xdr:row>
      <xdr:rowOff>114300</xdr:rowOff>
    </xdr:to>
    <xdr:sp macro="" textlink="">
      <xdr:nvSpPr>
        <xdr:cNvPr id="16545" name="Line 161"/>
        <xdr:cNvSpPr>
          <a:spLocks noChangeShapeType="1"/>
        </xdr:cNvSpPr>
      </xdr:nvSpPr>
      <xdr:spPr bwMode="auto">
        <a:xfrm flipH="1">
          <a:off x="2133600" y="13849350"/>
          <a:ext cx="571500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lgDashDot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104775</xdr:colOff>
      <xdr:row>68</xdr:row>
      <xdr:rowOff>0</xdr:rowOff>
    </xdr:from>
    <xdr:to>
      <xdr:col>4</xdr:col>
      <xdr:colOff>114300</xdr:colOff>
      <xdr:row>70</xdr:row>
      <xdr:rowOff>114300</xdr:rowOff>
    </xdr:to>
    <xdr:sp macro="" textlink="">
      <xdr:nvSpPr>
        <xdr:cNvPr id="16546" name="Line 162"/>
        <xdr:cNvSpPr>
          <a:spLocks noChangeShapeType="1"/>
        </xdr:cNvSpPr>
      </xdr:nvSpPr>
      <xdr:spPr bwMode="auto">
        <a:xfrm flipH="1" flipV="1">
          <a:off x="2190750" y="13306425"/>
          <a:ext cx="9525" cy="5429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114300</xdr:colOff>
      <xdr:row>66</xdr:row>
      <xdr:rowOff>104775</xdr:rowOff>
    </xdr:from>
    <xdr:to>
      <xdr:col>4</xdr:col>
      <xdr:colOff>114300</xdr:colOff>
      <xdr:row>68</xdr:row>
      <xdr:rowOff>0</xdr:rowOff>
    </xdr:to>
    <xdr:sp macro="" textlink="">
      <xdr:nvSpPr>
        <xdr:cNvPr id="16547" name="Line 163"/>
        <xdr:cNvSpPr>
          <a:spLocks noChangeShapeType="1"/>
        </xdr:cNvSpPr>
      </xdr:nvSpPr>
      <xdr:spPr bwMode="auto">
        <a:xfrm flipH="1" flipV="1">
          <a:off x="2200275" y="12992100"/>
          <a:ext cx="0" cy="3143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9525</xdr:colOff>
      <xdr:row>66</xdr:row>
      <xdr:rowOff>114300</xdr:rowOff>
    </xdr:from>
    <xdr:to>
      <xdr:col>4</xdr:col>
      <xdr:colOff>114300</xdr:colOff>
      <xdr:row>66</xdr:row>
      <xdr:rowOff>114300</xdr:rowOff>
    </xdr:to>
    <xdr:sp macro="" textlink="">
      <xdr:nvSpPr>
        <xdr:cNvPr id="16548" name="Line 164"/>
        <xdr:cNvSpPr>
          <a:spLocks noChangeShapeType="1"/>
        </xdr:cNvSpPr>
      </xdr:nvSpPr>
      <xdr:spPr bwMode="auto">
        <a:xfrm flipH="1">
          <a:off x="2095500" y="13001625"/>
          <a:ext cx="10477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70</xdr:row>
      <xdr:rowOff>142875</xdr:rowOff>
    </xdr:from>
    <xdr:to>
      <xdr:col>3</xdr:col>
      <xdr:colOff>390525</xdr:colOff>
      <xdr:row>71</xdr:row>
      <xdr:rowOff>133350</xdr:rowOff>
    </xdr:to>
    <xdr:sp macro="" textlink="">
      <xdr:nvSpPr>
        <xdr:cNvPr id="16549" name="Line 165"/>
        <xdr:cNvSpPr>
          <a:spLocks noChangeShapeType="1"/>
        </xdr:cNvSpPr>
      </xdr:nvSpPr>
      <xdr:spPr bwMode="auto">
        <a:xfrm flipH="1">
          <a:off x="1314450" y="13877925"/>
          <a:ext cx="38100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oval" w="med" len="med"/>
          <a:tailEnd type="oval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228600</xdr:colOff>
      <xdr:row>90</xdr:row>
      <xdr:rowOff>66675</xdr:rowOff>
    </xdr:from>
    <xdr:to>
      <xdr:col>12</xdr:col>
      <xdr:colOff>504825</xdr:colOff>
      <xdr:row>90</xdr:row>
      <xdr:rowOff>66675</xdr:rowOff>
    </xdr:to>
    <xdr:sp macro="" textlink="">
      <xdr:nvSpPr>
        <xdr:cNvPr id="16550" name="Line 166"/>
        <xdr:cNvSpPr>
          <a:spLocks noChangeShapeType="1"/>
        </xdr:cNvSpPr>
      </xdr:nvSpPr>
      <xdr:spPr bwMode="auto">
        <a:xfrm>
          <a:off x="5819775" y="17554575"/>
          <a:ext cx="237172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lgDashDot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171450</xdr:colOff>
      <xdr:row>72</xdr:row>
      <xdr:rowOff>152400</xdr:rowOff>
    </xdr:from>
    <xdr:to>
      <xdr:col>5</xdr:col>
      <xdr:colOff>171450</xdr:colOff>
      <xdr:row>76</xdr:row>
      <xdr:rowOff>9525</xdr:rowOff>
    </xdr:to>
    <xdr:sp macro="" textlink="">
      <xdr:nvSpPr>
        <xdr:cNvPr id="16556" name="Line 172"/>
        <xdr:cNvSpPr>
          <a:spLocks noChangeShapeType="1"/>
        </xdr:cNvSpPr>
      </xdr:nvSpPr>
      <xdr:spPr bwMode="auto">
        <a:xfrm>
          <a:off x="2876550" y="14268450"/>
          <a:ext cx="0" cy="64770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28575</xdr:colOff>
      <xdr:row>75</xdr:row>
      <xdr:rowOff>123825</xdr:rowOff>
    </xdr:from>
    <xdr:to>
      <xdr:col>5</xdr:col>
      <xdr:colOff>19050</xdr:colOff>
      <xdr:row>75</xdr:row>
      <xdr:rowOff>123825</xdr:rowOff>
    </xdr:to>
    <xdr:sp macro="" textlink="">
      <xdr:nvSpPr>
        <xdr:cNvPr id="16557" name="Line 173"/>
        <xdr:cNvSpPr>
          <a:spLocks noChangeShapeType="1"/>
        </xdr:cNvSpPr>
      </xdr:nvSpPr>
      <xdr:spPr bwMode="auto">
        <a:xfrm flipH="1">
          <a:off x="1333500" y="14820900"/>
          <a:ext cx="1390650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75</xdr:row>
      <xdr:rowOff>123825</xdr:rowOff>
    </xdr:from>
    <xdr:to>
      <xdr:col>5</xdr:col>
      <xdr:colOff>438150</xdr:colOff>
      <xdr:row>75</xdr:row>
      <xdr:rowOff>123825</xdr:rowOff>
    </xdr:to>
    <xdr:sp macro="" textlink="">
      <xdr:nvSpPr>
        <xdr:cNvPr id="16558" name="Line 174"/>
        <xdr:cNvSpPr>
          <a:spLocks noChangeShapeType="1"/>
        </xdr:cNvSpPr>
      </xdr:nvSpPr>
      <xdr:spPr bwMode="auto">
        <a:xfrm>
          <a:off x="2886075" y="14820900"/>
          <a:ext cx="25717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314325</xdr:colOff>
      <xdr:row>69</xdr:row>
      <xdr:rowOff>38100</xdr:rowOff>
    </xdr:from>
    <xdr:to>
      <xdr:col>5</xdr:col>
      <xdr:colOff>314325</xdr:colOff>
      <xdr:row>72</xdr:row>
      <xdr:rowOff>142875</xdr:rowOff>
    </xdr:to>
    <xdr:sp macro="" textlink="">
      <xdr:nvSpPr>
        <xdr:cNvPr id="16559" name="Line 175"/>
        <xdr:cNvSpPr>
          <a:spLocks noChangeShapeType="1"/>
        </xdr:cNvSpPr>
      </xdr:nvSpPr>
      <xdr:spPr bwMode="auto">
        <a:xfrm flipV="1">
          <a:off x="3019425" y="13563600"/>
          <a:ext cx="0" cy="6953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lgDashDot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314325</xdr:colOff>
      <xdr:row>69</xdr:row>
      <xdr:rowOff>95250</xdr:rowOff>
    </xdr:from>
    <xdr:to>
      <xdr:col>5</xdr:col>
      <xdr:colOff>714375</xdr:colOff>
      <xdr:row>69</xdr:row>
      <xdr:rowOff>104775</xdr:rowOff>
    </xdr:to>
    <xdr:sp macro="" textlink="">
      <xdr:nvSpPr>
        <xdr:cNvPr id="16560" name="Line 176"/>
        <xdr:cNvSpPr>
          <a:spLocks noChangeShapeType="1"/>
        </xdr:cNvSpPr>
      </xdr:nvSpPr>
      <xdr:spPr bwMode="auto">
        <a:xfrm>
          <a:off x="3019425" y="13620750"/>
          <a:ext cx="400050" cy="95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323850</xdr:colOff>
      <xdr:row>69</xdr:row>
      <xdr:rowOff>95250</xdr:rowOff>
    </xdr:from>
    <xdr:to>
      <xdr:col>5</xdr:col>
      <xdr:colOff>0</xdr:colOff>
      <xdr:row>69</xdr:row>
      <xdr:rowOff>95250</xdr:rowOff>
    </xdr:to>
    <xdr:sp macro="" textlink="">
      <xdr:nvSpPr>
        <xdr:cNvPr id="16561" name="Line 177"/>
        <xdr:cNvSpPr>
          <a:spLocks noChangeShapeType="1"/>
        </xdr:cNvSpPr>
      </xdr:nvSpPr>
      <xdr:spPr bwMode="auto">
        <a:xfrm flipH="1">
          <a:off x="2409825" y="13620750"/>
          <a:ext cx="29527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47625</xdr:colOff>
      <xdr:row>72</xdr:row>
      <xdr:rowOff>142875</xdr:rowOff>
    </xdr:from>
    <xdr:to>
      <xdr:col>9</xdr:col>
      <xdr:colOff>66675</xdr:colOff>
      <xdr:row>91</xdr:row>
      <xdr:rowOff>133350</xdr:rowOff>
    </xdr:to>
    <xdr:sp macro="" textlink="">
      <xdr:nvSpPr>
        <xdr:cNvPr id="16562" name="Line 178"/>
        <xdr:cNvSpPr>
          <a:spLocks noChangeShapeType="1"/>
        </xdr:cNvSpPr>
      </xdr:nvSpPr>
      <xdr:spPr bwMode="auto">
        <a:xfrm flipV="1">
          <a:off x="5638800" y="14258925"/>
          <a:ext cx="19050" cy="357187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390525</xdr:colOff>
      <xdr:row>81</xdr:row>
      <xdr:rowOff>76200</xdr:rowOff>
    </xdr:from>
    <xdr:to>
      <xdr:col>9</xdr:col>
      <xdr:colOff>57150</xdr:colOff>
      <xdr:row>81</xdr:row>
      <xdr:rowOff>76200</xdr:rowOff>
    </xdr:to>
    <xdr:sp macro="" textlink="">
      <xdr:nvSpPr>
        <xdr:cNvPr id="16563" name="Line 179"/>
        <xdr:cNvSpPr>
          <a:spLocks noChangeShapeType="1"/>
        </xdr:cNvSpPr>
      </xdr:nvSpPr>
      <xdr:spPr bwMode="auto">
        <a:xfrm flipH="1">
          <a:off x="5257800" y="15935325"/>
          <a:ext cx="39052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295275</xdr:colOff>
      <xdr:row>71</xdr:row>
      <xdr:rowOff>133350</xdr:rowOff>
    </xdr:from>
    <xdr:to>
      <xdr:col>6</xdr:col>
      <xdr:colOff>742950</xdr:colOff>
      <xdr:row>71</xdr:row>
      <xdr:rowOff>133350</xdr:rowOff>
    </xdr:to>
    <xdr:sp macro="" textlink="">
      <xdr:nvSpPr>
        <xdr:cNvPr id="16565" name="Line 181"/>
        <xdr:cNvSpPr>
          <a:spLocks noChangeShapeType="1"/>
        </xdr:cNvSpPr>
      </xdr:nvSpPr>
      <xdr:spPr bwMode="auto">
        <a:xfrm>
          <a:off x="3000375" y="14039850"/>
          <a:ext cx="119062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71</xdr:row>
      <xdr:rowOff>133350</xdr:rowOff>
    </xdr:from>
    <xdr:to>
      <xdr:col>9</xdr:col>
      <xdr:colOff>238125</xdr:colOff>
      <xdr:row>71</xdr:row>
      <xdr:rowOff>133350</xdr:rowOff>
    </xdr:to>
    <xdr:sp macro="" textlink="">
      <xdr:nvSpPr>
        <xdr:cNvPr id="16566" name="Line 182"/>
        <xdr:cNvSpPr>
          <a:spLocks noChangeShapeType="1"/>
        </xdr:cNvSpPr>
      </xdr:nvSpPr>
      <xdr:spPr bwMode="auto">
        <a:xfrm>
          <a:off x="4867275" y="14039850"/>
          <a:ext cx="96202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228600</xdr:colOff>
      <xdr:row>90</xdr:row>
      <xdr:rowOff>47625</xdr:rowOff>
    </xdr:from>
    <xdr:to>
      <xdr:col>9</xdr:col>
      <xdr:colOff>180975</xdr:colOff>
      <xdr:row>90</xdr:row>
      <xdr:rowOff>57150</xdr:rowOff>
    </xdr:to>
    <xdr:sp macro="" textlink="">
      <xdr:nvSpPr>
        <xdr:cNvPr id="16567" name="Line 183"/>
        <xdr:cNvSpPr>
          <a:spLocks noChangeShapeType="1"/>
        </xdr:cNvSpPr>
      </xdr:nvSpPr>
      <xdr:spPr bwMode="auto">
        <a:xfrm flipH="1" flipV="1">
          <a:off x="1533525" y="17535525"/>
          <a:ext cx="4238625" cy="95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lgDashDot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381000</xdr:colOff>
      <xdr:row>72</xdr:row>
      <xdr:rowOff>152400</xdr:rowOff>
    </xdr:from>
    <xdr:to>
      <xdr:col>3</xdr:col>
      <xdr:colOff>381000</xdr:colOff>
      <xdr:row>79</xdr:row>
      <xdr:rowOff>133350</xdr:rowOff>
    </xdr:to>
    <xdr:sp macro="" textlink="">
      <xdr:nvSpPr>
        <xdr:cNvPr id="16568" name="Line 184"/>
        <xdr:cNvSpPr>
          <a:spLocks noChangeShapeType="1"/>
        </xdr:cNvSpPr>
      </xdr:nvSpPr>
      <xdr:spPr bwMode="auto">
        <a:xfrm>
          <a:off x="1685925" y="14268450"/>
          <a:ext cx="0" cy="135255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352425</xdr:colOff>
      <xdr:row>82</xdr:row>
      <xdr:rowOff>9525</xdr:rowOff>
    </xdr:from>
    <xdr:to>
      <xdr:col>3</xdr:col>
      <xdr:colOff>361950</xdr:colOff>
      <xdr:row>90</xdr:row>
      <xdr:rowOff>28575</xdr:rowOff>
    </xdr:to>
    <xdr:sp macro="" textlink="">
      <xdr:nvSpPr>
        <xdr:cNvPr id="16569" name="Line 185"/>
        <xdr:cNvSpPr>
          <a:spLocks noChangeShapeType="1"/>
        </xdr:cNvSpPr>
      </xdr:nvSpPr>
      <xdr:spPr bwMode="auto">
        <a:xfrm flipV="1">
          <a:off x="1657350" y="16078200"/>
          <a:ext cx="9525" cy="143827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5</xdr:col>
      <xdr:colOff>457200</xdr:colOff>
      <xdr:row>66</xdr:row>
      <xdr:rowOff>47625</xdr:rowOff>
    </xdr:from>
    <xdr:ext cx="444500" cy="215900"/>
    <xdr:sp macro="" textlink="">
      <xdr:nvSpPr>
        <xdr:cNvPr id="16570" name="AutoShape 186"/>
        <xdr:cNvSpPr>
          <a:spLocks/>
        </xdr:cNvSpPr>
      </xdr:nvSpPr>
      <xdr:spPr bwMode="auto">
        <a:xfrm>
          <a:off x="3162300" y="12934950"/>
          <a:ext cx="438150" cy="209550"/>
        </a:xfrm>
        <a:prstGeom prst="borderCallout2">
          <a:avLst>
            <a:gd name="adj1" fmla="val 54546"/>
            <a:gd name="adj2" fmla="val -20514"/>
            <a:gd name="adj3" fmla="val 54546"/>
            <a:gd name="adj4" fmla="val -43588"/>
            <a:gd name="adj5" fmla="val 422727"/>
            <a:gd name="adj6" fmla="val -125639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FF0000"/>
              </a:solidFill>
              <a:latin typeface="Arial"/>
              <a:cs typeface="Arial"/>
            </a:rPr>
            <a:t>W.P.</a:t>
          </a:r>
        </a:p>
      </xdr:txBody>
    </xdr:sp>
    <xdr:clientData/>
  </xdr:oneCellAnchor>
  <xdr:oneCellAnchor>
    <xdr:from>
      <xdr:col>10</xdr:col>
      <xdr:colOff>295275</xdr:colOff>
      <xdr:row>86</xdr:row>
      <xdr:rowOff>38100</xdr:rowOff>
    </xdr:from>
    <xdr:ext cx="438150" cy="212725"/>
    <xdr:sp macro="" textlink="">
      <xdr:nvSpPr>
        <xdr:cNvPr id="16571" name="AutoShape 187"/>
        <xdr:cNvSpPr>
          <a:spLocks/>
        </xdr:cNvSpPr>
      </xdr:nvSpPr>
      <xdr:spPr bwMode="auto">
        <a:xfrm>
          <a:off x="6496050" y="16878300"/>
          <a:ext cx="438150" cy="209550"/>
        </a:xfrm>
        <a:prstGeom prst="borderCallout2">
          <a:avLst>
            <a:gd name="adj1" fmla="val 54546"/>
            <a:gd name="adj2" fmla="val -20514"/>
            <a:gd name="adj3" fmla="val 54546"/>
            <a:gd name="adj4" fmla="val -58972"/>
            <a:gd name="adj5" fmla="val 318181"/>
            <a:gd name="adj6" fmla="val -174361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FF0000"/>
              </a:solidFill>
              <a:latin typeface="Arial"/>
              <a:cs typeface="Arial"/>
            </a:rPr>
            <a:t>W.P.</a:t>
          </a:r>
        </a:p>
      </xdr:txBody>
    </xdr:sp>
    <xdr:clientData/>
  </xdr:oneCellAnchor>
  <xdr:twoCellAnchor>
    <xdr:from>
      <xdr:col>9</xdr:col>
      <xdr:colOff>457200</xdr:colOff>
      <xdr:row>72</xdr:row>
      <xdr:rowOff>161925</xdr:rowOff>
    </xdr:from>
    <xdr:to>
      <xdr:col>9</xdr:col>
      <xdr:colOff>457200</xdr:colOff>
      <xdr:row>91</xdr:row>
      <xdr:rowOff>76200</xdr:rowOff>
    </xdr:to>
    <xdr:sp macro="" textlink="">
      <xdr:nvSpPr>
        <xdr:cNvPr id="16587" name="Line 203"/>
        <xdr:cNvSpPr>
          <a:spLocks noChangeShapeType="1"/>
        </xdr:cNvSpPr>
      </xdr:nvSpPr>
      <xdr:spPr bwMode="auto">
        <a:xfrm flipV="1">
          <a:off x="6048375" y="14277975"/>
          <a:ext cx="0" cy="349567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447675</xdr:colOff>
      <xdr:row>81</xdr:row>
      <xdr:rowOff>66675</xdr:rowOff>
    </xdr:from>
    <xdr:to>
      <xdr:col>10</xdr:col>
      <xdr:colOff>571500</xdr:colOff>
      <xdr:row>81</xdr:row>
      <xdr:rowOff>66675</xdr:rowOff>
    </xdr:to>
    <xdr:sp macro="" textlink="">
      <xdr:nvSpPr>
        <xdr:cNvPr id="16588" name="Line 204"/>
        <xdr:cNvSpPr>
          <a:spLocks noChangeShapeType="1"/>
        </xdr:cNvSpPr>
      </xdr:nvSpPr>
      <xdr:spPr bwMode="auto">
        <a:xfrm>
          <a:off x="6038850" y="15925800"/>
          <a:ext cx="73342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190500</xdr:colOff>
      <xdr:row>89</xdr:row>
      <xdr:rowOff>142875</xdr:rowOff>
    </xdr:from>
    <xdr:to>
      <xdr:col>9</xdr:col>
      <xdr:colOff>9525</xdr:colOff>
      <xdr:row>89</xdr:row>
      <xdr:rowOff>142875</xdr:rowOff>
    </xdr:to>
    <xdr:sp macro="" textlink="">
      <xdr:nvSpPr>
        <xdr:cNvPr id="16589" name="Line 205"/>
        <xdr:cNvSpPr>
          <a:spLocks noChangeShapeType="1"/>
        </xdr:cNvSpPr>
      </xdr:nvSpPr>
      <xdr:spPr bwMode="auto">
        <a:xfrm flipH="1">
          <a:off x="3638550" y="17468850"/>
          <a:ext cx="1962150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295275</xdr:colOff>
      <xdr:row>87</xdr:row>
      <xdr:rowOff>85725</xdr:rowOff>
    </xdr:from>
    <xdr:to>
      <xdr:col>6</xdr:col>
      <xdr:colOff>295275</xdr:colOff>
      <xdr:row>89</xdr:row>
      <xdr:rowOff>114300</xdr:rowOff>
    </xdr:to>
    <xdr:sp macro="" textlink="">
      <xdr:nvSpPr>
        <xdr:cNvPr id="16590" name="Line 206"/>
        <xdr:cNvSpPr>
          <a:spLocks noChangeShapeType="1"/>
        </xdr:cNvSpPr>
      </xdr:nvSpPr>
      <xdr:spPr bwMode="auto">
        <a:xfrm flipV="1">
          <a:off x="3743325" y="17087850"/>
          <a:ext cx="0" cy="3524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266700</xdr:colOff>
      <xdr:row>90</xdr:row>
      <xdr:rowOff>66675</xdr:rowOff>
    </xdr:from>
    <xdr:to>
      <xdr:col>6</xdr:col>
      <xdr:colOff>266700</xdr:colOff>
      <xdr:row>91</xdr:row>
      <xdr:rowOff>114300</xdr:rowOff>
    </xdr:to>
    <xdr:sp macro="" textlink="">
      <xdr:nvSpPr>
        <xdr:cNvPr id="16591" name="Line 207"/>
        <xdr:cNvSpPr>
          <a:spLocks noChangeShapeType="1"/>
        </xdr:cNvSpPr>
      </xdr:nvSpPr>
      <xdr:spPr bwMode="auto">
        <a:xfrm>
          <a:off x="3714750" y="17554575"/>
          <a:ext cx="0" cy="25717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28575</xdr:colOff>
      <xdr:row>91</xdr:row>
      <xdr:rowOff>123825</xdr:rowOff>
    </xdr:from>
    <xdr:to>
      <xdr:col>6</xdr:col>
      <xdr:colOff>276225</xdr:colOff>
      <xdr:row>91</xdr:row>
      <xdr:rowOff>123825</xdr:rowOff>
    </xdr:to>
    <xdr:sp macro="" textlink="">
      <xdr:nvSpPr>
        <xdr:cNvPr id="16592" name="Line 208"/>
        <xdr:cNvSpPr>
          <a:spLocks noChangeShapeType="1"/>
        </xdr:cNvSpPr>
      </xdr:nvSpPr>
      <xdr:spPr bwMode="auto">
        <a:xfrm flipH="1">
          <a:off x="3476625" y="17821275"/>
          <a:ext cx="247650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400050</xdr:colOff>
      <xdr:row>105</xdr:row>
      <xdr:rowOff>152400</xdr:rowOff>
    </xdr:from>
    <xdr:to>
      <xdr:col>10</xdr:col>
      <xdr:colOff>314325</xdr:colOff>
      <xdr:row>105</xdr:row>
      <xdr:rowOff>152400</xdr:rowOff>
    </xdr:to>
    <xdr:sp macro="" textlink="">
      <xdr:nvSpPr>
        <xdr:cNvPr id="16662" name="Line 278"/>
        <xdr:cNvSpPr>
          <a:spLocks noChangeShapeType="1"/>
        </xdr:cNvSpPr>
      </xdr:nvSpPr>
      <xdr:spPr bwMode="auto">
        <a:xfrm>
          <a:off x="2486025" y="20602575"/>
          <a:ext cx="402907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428625</xdr:colOff>
      <xdr:row>101</xdr:row>
      <xdr:rowOff>9525</xdr:rowOff>
    </xdr:from>
    <xdr:to>
      <xdr:col>10</xdr:col>
      <xdr:colOff>200025</xdr:colOff>
      <xdr:row>101</xdr:row>
      <xdr:rowOff>19050</xdr:rowOff>
    </xdr:to>
    <xdr:sp macro="" textlink="">
      <xdr:nvSpPr>
        <xdr:cNvPr id="16663" name="Line 279"/>
        <xdr:cNvSpPr>
          <a:spLocks noChangeShapeType="1"/>
        </xdr:cNvSpPr>
      </xdr:nvSpPr>
      <xdr:spPr bwMode="auto">
        <a:xfrm flipV="1">
          <a:off x="2514600" y="19621500"/>
          <a:ext cx="3886200" cy="95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66675</xdr:colOff>
      <xdr:row>98</xdr:row>
      <xdr:rowOff>66675</xdr:rowOff>
    </xdr:from>
    <xdr:to>
      <xdr:col>5</xdr:col>
      <xdr:colOff>95250</xdr:colOff>
      <xdr:row>124</xdr:row>
      <xdr:rowOff>19050</xdr:rowOff>
    </xdr:to>
    <xdr:sp macro="" textlink="">
      <xdr:nvSpPr>
        <xdr:cNvPr id="16664" name="Line 280"/>
        <xdr:cNvSpPr>
          <a:spLocks noChangeShapeType="1"/>
        </xdr:cNvSpPr>
      </xdr:nvSpPr>
      <xdr:spPr bwMode="auto">
        <a:xfrm>
          <a:off x="2771775" y="19059525"/>
          <a:ext cx="28575" cy="502920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lgDashDot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361950</xdr:colOff>
      <xdr:row>101</xdr:row>
      <xdr:rowOff>9525</xdr:rowOff>
    </xdr:from>
    <xdr:to>
      <xdr:col>4</xdr:col>
      <xdr:colOff>381000</xdr:colOff>
      <xdr:row>101</xdr:row>
      <xdr:rowOff>9525</xdr:rowOff>
    </xdr:to>
    <xdr:sp macro="" textlink="">
      <xdr:nvSpPr>
        <xdr:cNvPr id="16665" name="Line 281"/>
        <xdr:cNvSpPr>
          <a:spLocks noChangeShapeType="1"/>
        </xdr:cNvSpPr>
      </xdr:nvSpPr>
      <xdr:spPr bwMode="auto">
        <a:xfrm flipH="1">
          <a:off x="1666875" y="19621500"/>
          <a:ext cx="800100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323850</xdr:colOff>
      <xdr:row>105</xdr:row>
      <xdr:rowOff>152400</xdr:rowOff>
    </xdr:from>
    <xdr:to>
      <xdr:col>4</xdr:col>
      <xdr:colOff>352425</xdr:colOff>
      <xdr:row>105</xdr:row>
      <xdr:rowOff>152400</xdr:rowOff>
    </xdr:to>
    <xdr:sp macro="" textlink="">
      <xdr:nvSpPr>
        <xdr:cNvPr id="16666" name="Line 282"/>
        <xdr:cNvSpPr>
          <a:spLocks noChangeShapeType="1"/>
        </xdr:cNvSpPr>
      </xdr:nvSpPr>
      <xdr:spPr bwMode="auto">
        <a:xfrm flipH="1">
          <a:off x="1628775" y="20602575"/>
          <a:ext cx="80962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390525</xdr:colOff>
      <xdr:row>101</xdr:row>
      <xdr:rowOff>19050</xdr:rowOff>
    </xdr:from>
    <xdr:to>
      <xdr:col>3</xdr:col>
      <xdr:colOff>390525</xdr:colOff>
      <xdr:row>105</xdr:row>
      <xdr:rowOff>152400</xdr:rowOff>
    </xdr:to>
    <xdr:sp macro="" textlink="">
      <xdr:nvSpPr>
        <xdr:cNvPr id="16667" name="Line 283"/>
        <xdr:cNvSpPr>
          <a:spLocks noChangeShapeType="1"/>
        </xdr:cNvSpPr>
      </xdr:nvSpPr>
      <xdr:spPr bwMode="auto">
        <a:xfrm>
          <a:off x="1695450" y="19631025"/>
          <a:ext cx="0" cy="97155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238125</xdr:colOff>
      <xdr:row>98</xdr:row>
      <xdr:rowOff>28575</xdr:rowOff>
    </xdr:from>
    <xdr:to>
      <xdr:col>9</xdr:col>
      <xdr:colOff>247650</xdr:colOff>
      <xdr:row>124</xdr:row>
      <xdr:rowOff>85725</xdr:rowOff>
    </xdr:to>
    <xdr:sp macro="" textlink="">
      <xdr:nvSpPr>
        <xdr:cNvPr id="16668" name="Line 284"/>
        <xdr:cNvSpPr>
          <a:spLocks noChangeShapeType="1"/>
        </xdr:cNvSpPr>
      </xdr:nvSpPr>
      <xdr:spPr bwMode="auto">
        <a:xfrm>
          <a:off x="5829300" y="19021425"/>
          <a:ext cx="9525" cy="513397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lgDashDot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161925</xdr:colOff>
      <xdr:row>105</xdr:row>
      <xdr:rowOff>142875</xdr:rowOff>
    </xdr:from>
    <xdr:to>
      <xdr:col>9</xdr:col>
      <xdr:colOff>28575</xdr:colOff>
      <xdr:row>122</xdr:row>
      <xdr:rowOff>142875</xdr:rowOff>
    </xdr:to>
    <xdr:sp macro="" textlink="">
      <xdr:nvSpPr>
        <xdr:cNvPr id="16669" name="Line 285"/>
        <xdr:cNvSpPr>
          <a:spLocks noChangeShapeType="1"/>
        </xdr:cNvSpPr>
      </xdr:nvSpPr>
      <xdr:spPr bwMode="auto">
        <a:xfrm>
          <a:off x="2867025" y="20593050"/>
          <a:ext cx="2752725" cy="3257550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457200</xdr:colOff>
      <xdr:row>105</xdr:row>
      <xdr:rowOff>142875</xdr:rowOff>
    </xdr:from>
    <xdr:to>
      <xdr:col>9</xdr:col>
      <xdr:colOff>47625</xdr:colOff>
      <xdr:row>120</xdr:row>
      <xdr:rowOff>142875</xdr:rowOff>
    </xdr:to>
    <xdr:sp macro="" textlink="">
      <xdr:nvSpPr>
        <xdr:cNvPr id="16670" name="Line 286"/>
        <xdr:cNvSpPr>
          <a:spLocks noChangeShapeType="1"/>
        </xdr:cNvSpPr>
      </xdr:nvSpPr>
      <xdr:spPr bwMode="auto">
        <a:xfrm flipH="1" flipV="1">
          <a:off x="3162300" y="20593050"/>
          <a:ext cx="2476500" cy="2933700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295275</xdr:colOff>
      <xdr:row>105</xdr:row>
      <xdr:rowOff>85725</xdr:rowOff>
    </xdr:from>
    <xdr:to>
      <xdr:col>9</xdr:col>
      <xdr:colOff>219075</xdr:colOff>
      <xdr:row>123</xdr:row>
      <xdr:rowOff>66675</xdr:rowOff>
    </xdr:to>
    <xdr:sp macro="" textlink="">
      <xdr:nvSpPr>
        <xdr:cNvPr id="16671" name="Line 287"/>
        <xdr:cNvSpPr>
          <a:spLocks noChangeShapeType="1"/>
        </xdr:cNvSpPr>
      </xdr:nvSpPr>
      <xdr:spPr bwMode="auto">
        <a:xfrm flipH="1" flipV="1">
          <a:off x="3000375" y="20535900"/>
          <a:ext cx="2809875" cy="34004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lgDashDot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276225</xdr:colOff>
      <xdr:row>101</xdr:row>
      <xdr:rowOff>28575</xdr:rowOff>
    </xdr:from>
    <xdr:to>
      <xdr:col>12</xdr:col>
      <xdr:colOff>466725</xdr:colOff>
      <xdr:row>101</xdr:row>
      <xdr:rowOff>28575</xdr:rowOff>
    </xdr:to>
    <xdr:sp macro="" textlink="">
      <xdr:nvSpPr>
        <xdr:cNvPr id="16672" name="Line 288"/>
        <xdr:cNvSpPr>
          <a:spLocks noChangeShapeType="1"/>
        </xdr:cNvSpPr>
      </xdr:nvSpPr>
      <xdr:spPr bwMode="auto">
        <a:xfrm flipV="1">
          <a:off x="6477000" y="19640550"/>
          <a:ext cx="1676400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314325</xdr:colOff>
      <xdr:row>101</xdr:row>
      <xdr:rowOff>47625</xdr:rowOff>
    </xdr:from>
    <xdr:to>
      <xdr:col>12</xdr:col>
      <xdr:colOff>314325</xdr:colOff>
      <xdr:row>123</xdr:row>
      <xdr:rowOff>76200</xdr:rowOff>
    </xdr:to>
    <xdr:sp macro="" textlink="">
      <xdr:nvSpPr>
        <xdr:cNvPr id="16673" name="Line 289"/>
        <xdr:cNvSpPr>
          <a:spLocks noChangeShapeType="1"/>
        </xdr:cNvSpPr>
      </xdr:nvSpPr>
      <xdr:spPr bwMode="auto">
        <a:xfrm flipV="1">
          <a:off x="8001000" y="19659600"/>
          <a:ext cx="0" cy="428625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333375</xdr:colOff>
      <xdr:row>111</xdr:row>
      <xdr:rowOff>95250</xdr:rowOff>
    </xdr:from>
    <xdr:to>
      <xdr:col>12</xdr:col>
      <xdr:colOff>714375</xdr:colOff>
      <xdr:row>111</xdr:row>
      <xdr:rowOff>95250</xdr:rowOff>
    </xdr:to>
    <xdr:sp macro="" textlink="">
      <xdr:nvSpPr>
        <xdr:cNvPr id="16674" name="Line 290"/>
        <xdr:cNvSpPr>
          <a:spLocks noChangeShapeType="1"/>
        </xdr:cNvSpPr>
      </xdr:nvSpPr>
      <xdr:spPr bwMode="auto">
        <a:xfrm flipH="1">
          <a:off x="8020050" y="21697950"/>
          <a:ext cx="3810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oval" w="med" len="med"/>
          <a:tailEnd type="oval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180975</xdr:colOff>
      <xdr:row>112</xdr:row>
      <xdr:rowOff>47625</xdr:rowOff>
    </xdr:from>
    <xdr:to>
      <xdr:col>6</xdr:col>
      <xdr:colOff>514350</xdr:colOff>
      <xdr:row>113</xdr:row>
      <xdr:rowOff>123825</xdr:rowOff>
    </xdr:to>
    <xdr:sp macro="" textlink="">
      <xdr:nvSpPr>
        <xdr:cNvPr id="16675" name="Line 291"/>
        <xdr:cNvSpPr>
          <a:spLocks noChangeShapeType="1"/>
        </xdr:cNvSpPr>
      </xdr:nvSpPr>
      <xdr:spPr bwMode="auto">
        <a:xfrm flipH="1">
          <a:off x="3629025" y="21859875"/>
          <a:ext cx="333375" cy="28575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685800</xdr:colOff>
      <xdr:row>110</xdr:row>
      <xdr:rowOff>57150</xdr:rowOff>
    </xdr:from>
    <xdr:to>
      <xdr:col>7</xdr:col>
      <xdr:colOff>257175</xdr:colOff>
      <xdr:row>111</xdr:row>
      <xdr:rowOff>104775</xdr:rowOff>
    </xdr:to>
    <xdr:sp macro="" textlink="">
      <xdr:nvSpPr>
        <xdr:cNvPr id="16676" name="Line 292"/>
        <xdr:cNvSpPr>
          <a:spLocks noChangeShapeType="1"/>
        </xdr:cNvSpPr>
      </xdr:nvSpPr>
      <xdr:spPr bwMode="auto">
        <a:xfrm flipV="1">
          <a:off x="4133850" y="21459825"/>
          <a:ext cx="333375" cy="24765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247650</xdr:colOff>
      <xdr:row>110</xdr:row>
      <xdr:rowOff>66675</xdr:rowOff>
    </xdr:from>
    <xdr:to>
      <xdr:col>8</xdr:col>
      <xdr:colOff>0</xdr:colOff>
      <xdr:row>110</xdr:row>
      <xdr:rowOff>66675</xdr:rowOff>
    </xdr:to>
    <xdr:sp macro="" textlink="">
      <xdr:nvSpPr>
        <xdr:cNvPr id="16677" name="Line 293"/>
        <xdr:cNvSpPr>
          <a:spLocks noChangeShapeType="1"/>
        </xdr:cNvSpPr>
      </xdr:nvSpPr>
      <xdr:spPr bwMode="auto">
        <a:xfrm>
          <a:off x="4457700" y="21469350"/>
          <a:ext cx="40957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66675</xdr:colOff>
      <xdr:row>98</xdr:row>
      <xdr:rowOff>114300</xdr:rowOff>
    </xdr:from>
    <xdr:to>
      <xdr:col>6</xdr:col>
      <xdr:colOff>714375</xdr:colOff>
      <xdr:row>98</xdr:row>
      <xdr:rowOff>114300</xdr:rowOff>
    </xdr:to>
    <xdr:sp macro="" textlink="">
      <xdr:nvSpPr>
        <xdr:cNvPr id="16678" name="Line 294"/>
        <xdr:cNvSpPr>
          <a:spLocks noChangeShapeType="1"/>
        </xdr:cNvSpPr>
      </xdr:nvSpPr>
      <xdr:spPr bwMode="auto">
        <a:xfrm>
          <a:off x="2771775" y="19107150"/>
          <a:ext cx="1390650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</xdr:colOff>
      <xdr:row>98</xdr:row>
      <xdr:rowOff>85725</xdr:rowOff>
    </xdr:from>
    <xdr:to>
      <xdr:col>9</xdr:col>
      <xdr:colOff>257175</xdr:colOff>
      <xdr:row>98</xdr:row>
      <xdr:rowOff>85725</xdr:rowOff>
    </xdr:to>
    <xdr:sp macro="" textlink="">
      <xdr:nvSpPr>
        <xdr:cNvPr id="16679" name="Line 295"/>
        <xdr:cNvSpPr>
          <a:spLocks noChangeShapeType="1"/>
        </xdr:cNvSpPr>
      </xdr:nvSpPr>
      <xdr:spPr bwMode="auto">
        <a:xfrm>
          <a:off x="4886325" y="19078575"/>
          <a:ext cx="96202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9525</xdr:colOff>
      <xdr:row>105</xdr:row>
      <xdr:rowOff>142875</xdr:rowOff>
    </xdr:from>
    <xdr:to>
      <xdr:col>5</xdr:col>
      <xdr:colOff>161925</xdr:colOff>
      <xdr:row>109</xdr:row>
      <xdr:rowOff>142875</xdr:rowOff>
    </xdr:to>
    <xdr:sp macro="" textlink="">
      <xdr:nvSpPr>
        <xdr:cNvPr id="16680" name="Line 296"/>
        <xdr:cNvSpPr>
          <a:spLocks noChangeShapeType="1"/>
        </xdr:cNvSpPr>
      </xdr:nvSpPr>
      <xdr:spPr bwMode="auto">
        <a:xfrm flipH="1">
          <a:off x="2095500" y="20593050"/>
          <a:ext cx="771525" cy="78105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38100</xdr:colOff>
      <xdr:row>122</xdr:row>
      <xdr:rowOff>123825</xdr:rowOff>
    </xdr:from>
    <xdr:to>
      <xdr:col>9</xdr:col>
      <xdr:colOff>47625</xdr:colOff>
      <xdr:row>125</xdr:row>
      <xdr:rowOff>133350</xdr:rowOff>
    </xdr:to>
    <xdr:sp macro="" textlink="">
      <xdr:nvSpPr>
        <xdr:cNvPr id="16681" name="Line 297"/>
        <xdr:cNvSpPr>
          <a:spLocks noChangeShapeType="1"/>
        </xdr:cNvSpPr>
      </xdr:nvSpPr>
      <xdr:spPr bwMode="auto">
        <a:xfrm flipH="1">
          <a:off x="4905375" y="23831550"/>
          <a:ext cx="733425" cy="57150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76200</xdr:colOff>
      <xdr:row>109</xdr:row>
      <xdr:rowOff>57150</xdr:rowOff>
    </xdr:from>
    <xdr:to>
      <xdr:col>8</xdr:col>
      <xdr:colOff>66675</xdr:colOff>
      <xdr:row>125</xdr:row>
      <xdr:rowOff>95250</xdr:rowOff>
    </xdr:to>
    <xdr:sp macro="" textlink="">
      <xdr:nvSpPr>
        <xdr:cNvPr id="16682" name="Line 298"/>
        <xdr:cNvSpPr>
          <a:spLocks noChangeShapeType="1"/>
        </xdr:cNvSpPr>
      </xdr:nvSpPr>
      <xdr:spPr bwMode="auto">
        <a:xfrm flipH="1" flipV="1">
          <a:off x="2162175" y="21288375"/>
          <a:ext cx="2771775" cy="307657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152400</xdr:colOff>
      <xdr:row>116</xdr:row>
      <xdr:rowOff>38100</xdr:rowOff>
    </xdr:from>
    <xdr:to>
      <xdr:col>6</xdr:col>
      <xdr:colOff>314325</xdr:colOff>
      <xdr:row>117</xdr:row>
      <xdr:rowOff>9525</xdr:rowOff>
    </xdr:to>
    <xdr:sp macro="" textlink="">
      <xdr:nvSpPr>
        <xdr:cNvPr id="16683" name="Line 299"/>
        <xdr:cNvSpPr>
          <a:spLocks noChangeShapeType="1"/>
        </xdr:cNvSpPr>
      </xdr:nvSpPr>
      <xdr:spPr bwMode="auto">
        <a:xfrm flipH="1">
          <a:off x="3600450" y="22698075"/>
          <a:ext cx="161925" cy="1714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oval" w="med" len="med"/>
          <a:tailEnd type="oval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447675</xdr:colOff>
      <xdr:row>101</xdr:row>
      <xdr:rowOff>47625</xdr:rowOff>
    </xdr:from>
    <xdr:to>
      <xdr:col>10</xdr:col>
      <xdr:colOff>180975</xdr:colOff>
      <xdr:row>101</xdr:row>
      <xdr:rowOff>47625</xdr:rowOff>
    </xdr:to>
    <xdr:sp macro="" textlink="">
      <xdr:nvSpPr>
        <xdr:cNvPr id="16684" name="Line 300"/>
        <xdr:cNvSpPr>
          <a:spLocks noChangeShapeType="1"/>
        </xdr:cNvSpPr>
      </xdr:nvSpPr>
      <xdr:spPr bwMode="auto">
        <a:xfrm flipV="1">
          <a:off x="2533650" y="19659600"/>
          <a:ext cx="38481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400050</xdr:colOff>
      <xdr:row>105</xdr:row>
      <xdr:rowOff>114300</xdr:rowOff>
    </xdr:from>
    <xdr:to>
      <xdr:col>10</xdr:col>
      <xdr:colOff>238125</xdr:colOff>
      <xdr:row>105</xdr:row>
      <xdr:rowOff>114300</xdr:rowOff>
    </xdr:to>
    <xdr:sp macro="" textlink="">
      <xdr:nvSpPr>
        <xdr:cNvPr id="16685" name="Line 301"/>
        <xdr:cNvSpPr>
          <a:spLocks noChangeShapeType="1"/>
        </xdr:cNvSpPr>
      </xdr:nvSpPr>
      <xdr:spPr bwMode="auto">
        <a:xfrm>
          <a:off x="2486025" y="20564475"/>
          <a:ext cx="39528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103</xdr:row>
      <xdr:rowOff>142875</xdr:rowOff>
    </xdr:from>
    <xdr:to>
      <xdr:col>3</xdr:col>
      <xdr:colOff>390525</xdr:colOff>
      <xdr:row>104</xdr:row>
      <xdr:rowOff>133350</xdr:rowOff>
    </xdr:to>
    <xdr:sp macro="" textlink="">
      <xdr:nvSpPr>
        <xdr:cNvPr id="16690" name="Line 306"/>
        <xdr:cNvSpPr>
          <a:spLocks noChangeShapeType="1"/>
        </xdr:cNvSpPr>
      </xdr:nvSpPr>
      <xdr:spPr bwMode="auto">
        <a:xfrm flipH="1">
          <a:off x="1314450" y="20173950"/>
          <a:ext cx="381000" cy="2000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oval" w="med" len="med"/>
          <a:tailEnd type="oval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228600</xdr:colOff>
      <xdr:row>123</xdr:row>
      <xdr:rowOff>66675</xdr:rowOff>
    </xdr:from>
    <xdr:to>
      <xdr:col>12</xdr:col>
      <xdr:colOff>504825</xdr:colOff>
      <xdr:row>123</xdr:row>
      <xdr:rowOff>66675</xdr:rowOff>
    </xdr:to>
    <xdr:sp macro="" textlink="">
      <xdr:nvSpPr>
        <xdr:cNvPr id="16691" name="Line 307"/>
        <xdr:cNvSpPr>
          <a:spLocks noChangeShapeType="1"/>
        </xdr:cNvSpPr>
      </xdr:nvSpPr>
      <xdr:spPr bwMode="auto">
        <a:xfrm>
          <a:off x="5819775" y="23936325"/>
          <a:ext cx="237172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47625</xdr:colOff>
      <xdr:row>105</xdr:row>
      <xdr:rowOff>142875</xdr:rowOff>
    </xdr:from>
    <xdr:to>
      <xdr:col>9</xdr:col>
      <xdr:colOff>47625</xdr:colOff>
      <xdr:row>124</xdr:row>
      <xdr:rowOff>133350</xdr:rowOff>
    </xdr:to>
    <xdr:sp macro="" textlink="">
      <xdr:nvSpPr>
        <xdr:cNvPr id="16698" name="Line 314"/>
        <xdr:cNvSpPr>
          <a:spLocks noChangeShapeType="1"/>
        </xdr:cNvSpPr>
      </xdr:nvSpPr>
      <xdr:spPr bwMode="auto">
        <a:xfrm flipV="1">
          <a:off x="5638800" y="20593050"/>
          <a:ext cx="0" cy="360997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390525</xdr:colOff>
      <xdr:row>114</xdr:row>
      <xdr:rowOff>76200</xdr:rowOff>
    </xdr:from>
    <xdr:to>
      <xdr:col>9</xdr:col>
      <xdr:colOff>57150</xdr:colOff>
      <xdr:row>114</xdr:row>
      <xdr:rowOff>76200</xdr:rowOff>
    </xdr:to>
    <xdr:sp macro="" textlink="">
      <xdr:nvSpPr>
        <xdr:cNvPr id="16699" name="Line 315"/>
        <xdr:cNvSpPr>
          <a:spLocks noChangeShapeType="1"/>
        </xdr:cNvSpPr>
      </xdr:nvSpPr>
      <xdr:spPr bwMode="auto">
        <a:xfrm flipH="1">
          <a:off x="5257800" y="22307550"/>
          <a:ext cx="39052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228600</xdr:colOff>
      <xdr:row>123</xdr:row>
      <xdr:rowOff>47625</xdr:rowOff>
    </xdr:from>
    <xdr:to>
      <xdr:col>9</xdr:col>
      <xdr:colOff>180975</xdr:colOff>
      <xdr:row>123</xdr:row>
      <xdr:rowOff>57150</xdr:rowOff>
    </xdr:to>
    <xdr:sp macro="" textlink="">
      <xdr:nvSpPr>
        <xdr:cNvPr id="16702" name="Line 318"/>
        <xdr:cNvSpPr>
          <a:spLocks noChangeShapeType="1"/>
        </xdr:cNvSpPr>
      </xdr:nvSpPr>
      <xdr:spPr bwMode="auto">
        <a:xfrm flipH="1" flipV="1">
          <a:off x="1533525" y="23917275"/>
          <a:ext cx="4238625" cy="95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381000</xdr:colOff>
      <xdr:row>105</xdr:row>
      <xdr:rowOff>152400</xdr:rowOff>
    </xdr:from>
    <xdr:to>
      <xdr:col>3</xdr:col>
      <xdr:colOff>381000</xdr:colOff>
      <xdr:row>112</xdr:row>
      <xdr:rowOff>133350</xdr:rowOff>
    </xdr:to>
    <xdr:sp macro="" textlink="">
      <xdr:nvSpPr>
        <xdr:cNvPr id="16703" name="Line 319"/>
        <xdr:cNvSpPr>
          <a:spLocks noChangeShapeType="1"/>
        </xdr:cNvSpPr>
      </xdr:nvSpPr>
      <xdr:spPr bwMode="auto">
        <a:xfrm>
          <a:off x="1685925" y="20602575"/>
          <a:ext cx="0" cy="13430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361950</xdr:colOff>
      <xdr:row>115</xdr:row>
      <xdr:rowOff>9525</xdr:rowOff>
    </xdr:from>
    <xdr:to>
      <xdr:col>3</xdr:col>
      <xdr:colOff>361950</xdr:colOff>
      <xdr:row>123</xdr:row>
      <xdr:rowOff>57150</xdr:rowOff>
    </xdr:to>
    <xdr:sp macro="" textlink="">
      <xdr:nvSpPr>
        <xdr:cNvPr id="16704" name="Line 320"/>
        <xdr:cNvSpPr>
          <a:spLocks noChangeShapeType="1"/>
        </xdr:cNvSpPr>
      </xdr:nvSpPr>
      <xdr:spPr bwMode="auto">
        <a:xfrm flipH="1" flipV="1">
          <a:off x="1666875" y="22459950"/>
          <a:ext cx="0" cy="146685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5</xdr:col>
      <xdr:colOff>419100</xdr:colOff>
      <xdr:row>99</xdr:row>
      <xdr:rowOff>66675</xdr:rowOff>
    </xdr:from>
    <xdr:ext cx="549275" cy="254000"/>
    <xdr:sp macro="" textlink="">
      <xdr:nvSpPr>
        <xdr:cNvPr id="16705" name="AutoShape 321"/>
        <xdr:cNvSpPr>
          <a:spLocks/>
        </xdr:cNvSpPr>
      </xdr:nvSpPr>
      <xdr:spPr bwMode="auto">
        <a:xfrm>
          <a:off x="3124200" y="19269075"/>
          <a:ext cx="542925" cy="247650"/>
        </a:xfrm>
        <a:prstGeom prst="borderCallout2">
          <a:avLst>
            <a:gd name="adj1" fmla="val 46153"/>
            <a:gd name="adj2" fmla="val -14287"/>
            <a:gd name="adj3" fmla="val 46153"/>
            <a:gd name="adj4" fmla="val -23213"/>
            <a:gd name="adj5" fmla="val 519231"/>
            <a:gd name="adj6" fmla="val -57144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1" Clr.</a:t>
          </a:r>
        </a:p>
      </xdr:txBody>
    </xdr:sp>
    <xdr:clientData/>
  </xdr:oneCellAnchor>
  <xdr:oneCellAnchor>
    <xdr:from>
      <xdr:col>10</xdr:col>
      <xdr:colOff>257175</xdr:colOff>
      <xdr:row>119</xdr:row>
      <xdr:rowOff>66675</xdr:rowOff>
    </xdr:from>
    <xdr:ext cx="539750" cy="250825"/>
    <xdr:sp macro="" textlink="">
      <xdr:nvSpPr>
        <xdr:cNvPr id="16706" name="AutoShape 322"/>
        <xdr:cNvSpPr>
          <a:spLocks/>
        </xdr:cNvSpPr>
      </xdr:nvSpPr>
      <xdr:spPr bwMode="auto">
        <a:xfrm>
          <a:off x="6457950" y="23288625"/>
          <a:ext cx="542925" cy="247650"/>
        </a:xfrm>
        <a:prstGeom prst="borderCallout2">
          <a:avLst>
            <a:gd name="adj1" fmla="val 46153"/>
            <a:gd name="adj2" fmla="val -14037"/>
            <a:gd name="adj3" fmla="val 46153"/>
            <a:gd name="adj4" fmla="val -45616"/>
            <a:gd name="adj5" fmla="val 238463"/>
            <a:gd name="adj6" fmla="val -14737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2" Clr.</a:t>
          </a:r>
        </a:p>
      </xdr:txBody>
    </xdr:sp>
    <xdr:clientData/>
  </xdr:oneCellAnchor>
  <xdr:twoCellAnchor>
    <xdr:from>
      <xdr:col>9</xdr:col>
      <xdr:colOff>457200</xdr:colOff>
      <xdr:row>105</xdr:row>
      <xdr:rowOff>161925</xdr:rowOff>
    </xdr:from>
    <xdr:to>
      <xdr:col>9</xdr:col>
      <xdr:colOff>457200</xdr:colOff>
      <xdr:row>124</xdr:row>
      <xdr:rowOff>76200</xdr:rowOff>
    </xdr:to>
    <xdr:sp macro="" textlink="">
      <xdr:nvSpPr>
        <xdr:cNvPr id="16707" name="Line 323"/>
        <xdr:cNvSpPr>
          <a:spLocks noChangeShapeType="1"/>
        </xdr:cNvSpPr>
      </xdr:nvSpPr>
      <xdr:spPr bwMode="auto">
        <a:xfrm flipV="1">
          <a:off x="6048375" y="20612100"/>
          <a:ext cx="0" cy="353377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447675</xdr:colOff>
      <xdr:row>114</xdr:row>
      <xdr:rowOff>66675</xdr:rowOff>
    </xdr:from>
    <xdr:to>
      <xdr:col>10</xdr:col>
      <xdr:colOff>571500</xdr:colOff>
      <xdr:row>114</xdr:row>
      <xdr:rowOff>66675</xdr:rowOff>
    </xdr:to>
    <xdr:sp macro="" textlink="">
      <xdr:nvSpPr>
        <xdr:cNvPr id="16708" name="Line 324"/>
        <xdr:cNvSpPr>
          <a:spLocks noChangeShapeType="1"/>
        </xdr:cNvSpPr>
      </xdr:nvSpPr>
      <xdr:spPr bwMode="auto">
        <a:xfrm>
          <a:off x="6038850" y="22298025"/>
          <a:ext cx="73342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342900</xdr:colOff>
      <xdr:row>102</xdr:row>
      <xdr:rowOff>142875</xdr:rowOff>
    </xdr:from>
    <xdr:to>
      <xdr:col>5</xdr:col>
      <xdr:colOff>342900</xdr:colOff>
      <xdr:row>105</xdr:row>
      <xdr:rowOff>142875</xdr:rowOff>
    </xdr:to>
    <xdr:sp macro="" textlink="">
      <xdr:nvSpPr>
        <xdr:cNvPr id="16727" name="Line 343"/>
        <xdr:cNvSpPr>
          <a:spLocks noChangeShapeType="1"/>
        </xdr:cNvSpPr>
      </xdr:nvSpPr>
      <xdr:spPr bwMode="auto">
        <a:xfrm flipV="1">
          <a:off x="3048000" y="19964400"/>
          <a:ext cx="0" cy="62865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333375</xdr:colOff>
      <xdr:row>103</xdr:row>
      <xdr:rowOff>85725</xdr:rowOff>
    </xdr:from>
    <xdr:to>
      <xdr:col>6</xdr:col>
      <xdr:colOff>0</xdr:colOff>
      <xdr:row>103</xdr:row>
      <xdr:rowOff>85725</xdr:rowOff>
    </xdr:to>
    <xdr:sp macro="" textlink="">
      <xdr:nvSpPr>
        <xdr:cNvPr id="16728" name="Line 344"/>
        <xdr:cNvSpPr>
          <a:spLocks noChangeShapeType="1"/>
        </xdr:cNvSpPr>
      </xdr:nvSpPr>
      <xdr:spPr bwMode="auto">
        <a:xfrm>
          <a:off x="3038475" y="20116800"/>
          <a:ext cx="40957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304800</xdr:colOff>
      <xdr:row>103</xdr:row>
      <xdr:rowOff>104775</xdr:rowOff>
    </xdr:from>
    <xdr:to>
      <xdr:col>5</xdr:col>
      <xdr:colOff>76200</xdr:colOff>
      <xdr:row>103</xdr:row>
      <xdr:rowOff>104775</xdr:rowOff>
    </xdr:to>
    <xdr:sp macro="" textlink="">
      <xdr:nvSpPr>
        <xdr:cNvPr id="16729" name="Line 345"/>
        <xdr:cNvSpPr>
          <a:spLocks noChangeShapeType="1"/>
        </xdr:cNvSpPr>
      </xdr:nvSpPr>
      <xdr:spPr bwMode="auto">
        <a:xfrm flipH="1">
          <a:off x="2390775" y="20135850"/>
          <a:ext cx="39052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400050</xdr:colOff>
      <xdr:row>139</xdr:row>
      <xdr:rowOff>152400</xdr:rowOff>
    </xdr:from>
    <xdr:to>
      <xdr:col>9</xdr:col>
      <xdr:colOff>581025</xdr:colOff>
      <xdr:row>139</xdr:row>
      <xdr:rowOff>152400</xdr:rowOff>
    </xdr:to>
    <xdr:sp macro="" textlink="">
      <xdr:nvSpPr>
        <xdr:cNvPr id="16731" name="Line 347"/>
        <xdr:cNvSpPr>
          <a:spLocks noChangeShapeType="1"/>
        </xdr:cNvSpPr>
      </xdr:nvSpPr>
      <xdr:spPr bwMode="auto">
        <a:xfrm>
          <a:off x="2486025" y="27098625"/>
          <a:ext cx="368617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438150</xdr:colOff>
      <xdr:row>135</xdr:row>
      <xdr:rowOff>190500</xdr:rowOff>
    </xdr:from>
    <xdr:to>
      <xdr:col>10</xdr:col>
      <xdr:colOff>19050</xdr:colOff>
      <xdr:row>135</xdr:row>
      <xdr:rowOff>190500</xdr:rowOff>
    </xdr:to>
    <xdr:sp macro="" textlink="">
      <xdr:nvSpPr>
        <xdr:cNvPr id="16732" name="Line 348"/>
        <xdr:cNvSpPr>
          <a:spLocks noChangeShapeType="1"/>
        </xdr:cNvSpPr>
      </xdr:nvSpPr>
      <xdr:spPr bwMode="auto">
        <a:xfrm flipV="1">
          <a:off x="2524125" y="26346150"/>
          <a:ext cx="3695700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130</xdr:row>
      <xdr:rowOff>38100</xdr:rowOff>
    </xdr:from>
    <xdr:to>
      <xdr:col>5</xdr:col>
      <xdr:colOff>9525</xdr:colOff>
      <xdr:row>153</xdr:row>
      <xdr:rowOff>47625</xdr:rowOff>
    </xdr:to>
    <xdr:sp macro="" textlink="">
      <xdr:nvSpPr>
        <xdr:cNvPr id="16733" name="Line 349"/>
        <xdr:cNvSpPr>
          <a:spLocks noChangeShapeType="1"/>
        </xdr:cNvSpPr>
      </xdr:nvSpPr>
      <xdr:spPr bwMode="auto">
        <a:xfrm>
          <a:off x="2714625" y="25222200"/>
          <a:ext cx="0" cy="462915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lgDashDot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123825</xdr:colOff>
      <xdr:row>139</xdr:row>
      <xdr:rowOff>152400</xdr:rowOff>
    </xdr:from>
    <xdr:to>
      <xdr:col>5</xdr:col>
      <xdr:colOff>123825</xdr:colOff>
      <xdr:row>156</xdr:row>
      <xdr:rowOff>9525</xdr:rowOff>
    </xdr:to>
    <xdr:sp macro="" textlink="">
      <xdr:nvSpPr>
        <xdr:cNvPr id="16734" name="Line 350"/>
        <xdr:cNvSpPr>
          <a:spLocks noChangeShapeType="1"/>
        </xdr:cNvSpPr>
      </xdr:nvSpPr>
      <xdr:spPr bwMode="auto">
        <a:xfrm>
          <a:off x="2828925" y="27098625"/>
          <a:ext cx="0" cy="325755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495300</xdr:colOff>
      <xdr:row>139</xdr:row>
      <xdr:rowOff>152400</xdr:rowOff>
    </xdr:from>
    <xdr:to>
      <xdr:col>4</xdr:col>
      <xdr:colOff>495300</xdr:colOff>
      <xdr:row>156</xdr:row>
      <xdr:rowOff>9525</xdr:rowOff>
    </xdr:to>
    <xdr:sp macro="" textlink="">
      <xdr:nvSpPr>
        <xdr:cNvPr id="16735" name="Line 351"/>
        <xdr:cNvSpPr>
          <a:spLocks noChangeShapeType="1"/>
        </xdr:cNvSpPr>
      </xdr:nvSpPr>
      <xdr:spPr bwMode="auto">
        <a:xfrm>
          <a:off x="2581275" y="27098625"/>
          <a:ext cx="0" cy="325755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361950</xdr:colOff>
      <xdr:row>156</xdr:row>
      <xdr:rowOff>9525</xdr:rowOff>
    </xdr:from>
    <xdr:to>
      <xdr:col>10</xdr:col>
      <xdr:colOff>295275</xdr:colOff>
      <xdr:row>156</xdr:row>
      <xdr:rowOff>19050</xdr:rowOff>
    </xdr:to>
    <xdr:sp macro="" textlink="">
      <xdr:nvSpPr>
        <xdr:cNvPr id="16736" name="Line 352"/>
        <xdr:cNvSpPr>
          <a:spLocks noChangeShapeType="1"/>
        </xdr:cNvSpPr>
      </xdr:nvSpPr>
      <xdr:spPr bwMode="auto">
        <a:xfrm>
          <a:off x="2447925" y="30356175"/>
          <a:ext cx="4048125" cy="95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323850</xdr:colOff>
      <xdr:row>135</xdr:row>
      <xdr:rowOff>190500</xdr:rowOff>
    </xdr:from>
    <xdr:to>
      <xdr:col>4</xdr:col>
      <xdr:colOff>342900</xdr:colOff>
      <xdr:row>135</xdr:row>
      <xdr:rowOff>190500</xdr:rowOff>
    </xdr:to>
    <xdr:sp macro="" textlink="">
      <xdr:nvSpPr>
        <xdr:cNvPr id="16737" name="Line 353"/>
        <xdr:cNvSpPr>
          <a:spLocks noChangeShapeType="1"/>
        </xdr:cNvSpPr>
      </xdr:nvSpPr>
      <xdr:spPr bwMode="auto">
        <a:xfrm flipH="1">
          <a:off x="1628775" y="26346150"/>
          <a:ext cx="800100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323850</xdr:colOff>
      <xdr:row>139</xdr:row>
      <xdr:rowOff>152400</xdr:rowOff>
    </xdr:from>
    <xdr:to>
      <xdr:col>4</xdr:col>
      <xdr:colOff>352425</xdr:colOff>
      <xdr:row>139</xdr:row>
      <xdr:rowOff>152400</xdr:rowOff>
    </xdr:to>
    <xdr:sp macro="" textlink="">
      <xdr:nvSpPr>
        <xdr:cNvPr id="16738" name="Line 354"/>
        <xdr:cNvSpPr>
          <a:spLocks noChangeShapeType="1"/>
        </xdr:cNvSpPr>
      </xdr:nvSpPr>
      <xdr:spPr bwMode="auto">
        <a:xfrm flipH="1">
          <a:off x="1628775" y="27098625"/>
          <a:ext cx="80962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390525</xdr:colOff>
      <xdr:row>136</xdr:row>
      <xdr:rowOff>0</xdr:rowOff>
    </xdr:from>
    <xdr:to>
      <xdr:col>3</xdr:col>
      <xdr:colOff>390525</xdr:colOff>
      <xdr:row>139</xdr:row>
      <xdr:rowOff>152400</xdr:rowOff>
    </xdr:to>
    <xdr:sp macro="" textlink="">
      <xdr:nvSpPr>
        <xdr:cNvPr id="16739" name="Line 355"/>
        <xdr:cNvSpPr>
          <a:spLocks noChangeShapeType="1"/>
        </xdr:cNvSpPr>
      </xdr:nvSpPr>
      <xdr:spPr bwMode="auto">
        <a:xfrm>
          <a:off x="1695450" y="26355675"/>
          <a:ext cx="0" cy="74295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304800</xdr:colOff>
      <xdr:row>139</xdr:row>
      <xdr:rowOff>152400</xdr:rowOff>
    </xdr:from>
    <xdr:to>
      <xdr:col>9</xdr:col>
      <xdr:colOff>304800</xdr:colOff>
      <xdr:row>156</xdr:row>
      <xdr:rowOff>9525</xdr:rowOff>
    </xdr:to>
    <xdr:sp macro="" textlink="">
      <xdr:nvSpPr>
        <xdr:cNvPr id="16741" name="Line 357"/>
        <xdr:cNvSpPr>
          <a:spLocks noChangeShapeType="1"/>
        </xdr:cNvSpPr>
      </xdr:nvSpPr>
      <xdr:spPr bwMode="auto">
        <a:xfrm>
          <a:off x="5895975" y="27098625"/>
          <a:ext cx="0" cy="325755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130</xdr:row>
      <xdr:rowOff>76200</xdr:rowOff>
    </xdr:from>
    <xdr:to>
      <xdr:col>9</xdr:col>
      <xdr:colOff>409575</xdr:colOff>
      <xdr:row>162</xdr:row>
      <xdr:rowOff>85725</xdr:rowOff>
    </xdr:to>
    <xdr:sp macro="" textlink="">
      <xdr:nvSpPr>
        <xdr:cNvPr id="16742" name="Line 358"/>
        <xdr:cNvSpPr>
          <a:spLocks noChangeShapeType="1"/>
        </xdr:cNvSpPr>
      </xdr:nvSpPr>
      <xdr:spPr bwMode="auto">
        <a:xfrm>
          <a:off x="5981700" y="25260300"/>
          <a:ext cx="19050" cy="62960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lgDashDot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190500</xdr:colOff>
      <xdr:row>139</xdr:row>
      <xdr:rowOff>142875</xdr:rowOff>
    </xdr:from>
    <xdr:to>
      <xdr:col>8</xdr:col>
      <xdr:colOff>619125</xdr:colOff>
      <xdr:row>156</xdr:row>
      <xdr:rowOff>19050</xdr:rowOff>
    </xdr:to>
    <xdr:sp macro="" textlink="">
      <xdr:nvSpPr>
        <xdr:cNvPr id="16743" name="Line 359"/>
        <xdr:cNvSpPr>
          <a:spLocks noChangeShapeType="1"/>
        </xdr:cNvSpPr>
      </xdr:nvSpPr>
      <xdr:spPr bwMode="auto">
        <a:xfrm>
          <a:off x="2895600" y="27089100"/>
          <a:ext cx="2590800" cy="3276600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590550</xdr:colOff>
      <xdr:row>139</xdr:row>
      <xdr:rowOff>152400</xdr:rowOff>
    </xdr:from>
    <xdr:to>
      <xdr:col>9</xdr:col>
      <xdr:colOff>257175</xdr:colOff>
      <xdr:row>156</xdr:row>
      <xdr:rowOff>28575</xdr:rowOff>
    </xdr:to>
    <xdr:sp macro="" textlink="">
      <xdr:nvSpPr>
        <xdr:cNvPr id="16744" name="Line 360"/>
        <xdr:cNvSpPr>
          <a:spLocks noChangeShapeType="1"/>
        </xdr:cNvSpPr>
      </xdr:nvSpPr>
      <xdr:spPr bwMode="auto">
        <a:xfrm flipH="1" flipV="1">
          <a:off x="3295650" y="27098625"/>
          <a:ext cx="2552700" cy="3276600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123825</xdr:colOff>
      <xdr:row>138</xdr:row>
      <xdr:rowOff>38100</xdr:rowOff>
    </xdr:from>
    <xdr:to>
      <xdr:col>9</xdr:col>
      <xdr:colOff>276225</xdr:colOff>
      <xdr:row>157</xdr:row>
      <xdr:rowOff>95250</xdr:rowOff>
    </xdr:to>
    <xdr:sp macro="" textlink="">
      <xdr:nvSpPr>
        <xdr:cNvPr id="16745" name="Line 361"/>
        <xdr:cNvSpPr>
          <a:spLocks noChangeShapeType="1"/>
        </xdr:cNvSpPr>
      </xdr:nvSpPr>
      <xdr:spPr bwMode="auto">
        <a:xfrm flipH="1" flipV="1">
          <a:off x="2828925" y="26774775"/>
          <a:ext cx="3038475" cy="382905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lgDashDot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495300</xdr:colOff>
      <xdr:row>139</xdr:row>
      <xdr:rowOff>142875</xdr:rowOff>
    </xdr:from>
    <xdr:to>
      <xdr:col>9</xdr:col>
      <xdr:colOff>495300</xdr:colOff>
      <xdr:row>156</xdr:row>
      <xdr:rowOff>19050</xdr:rowOff>
    </xdr:to>
    <xdr:sp macro="" textlink="">
      <xdr:nvSpPr>
        <xdr:cNvPr id="16746" name="Line 362"/>
        <xdr:cNvSpPr>
          <a:spLocks noChangeShapeType="1"/>
        </xdr:cNvSpPr>
      </xdr:nvSpPr>
      <xdr:spPr bwMode="auto">
        <a:xfrm>
          <a:off x="6086475" y="27089100"/>
          <a:ext cx="0" cy="327660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66675</xdr:colOff>
      <xdr:row>136</xdr:row>
      <xdr:rowOff>0</xdr:rowOff>
    </xdr:from>
    <xdr:to>
      <xdr:col>12</xdr:col>
      <xdr:colOff>352425</xdr:colOff>
      <xdr:row>136</xdr:row>
      <xdr:rowOff>0</xdr:rowOff>
    </xdr:to>
    <xdr:sp macro="" textlink="">
      <xdr:nvSpPr>
        <xdr:cNvPr id="16747" name="Line 363"/>
        <xdr:cNvSpPr>
          <a:spLocks noChangeShapeType="1"/>
        </xdr:cNvSpPr>
      </xdr:nvSpPr>
      <xdr:spPr bwMode="auto">
        <a:xfrm>
          <a:off x="6267450" y="26355675"/>
          <a:ext cx="1771650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342900</xdr:colOff>
      <xdr:row>156</xdr:row>
      <xdr:rowOff>9525</xdr:rowOff>
    </xdr:from>
    <xdr:to>
      <xdr:col>12</xdr:col>
      <xdr:colOff>400050</xdr:colOff>
      <xdr:row>156</xdr:row>
      <xdr:rowOff>9525</xdr:rowOff>
    </xdr:to>
    <xdr:sp macro="" textlink="">
      <xdr:nvSpPr>
        <xdr:cNvPr id="16748" name="Line 364"/>
        <xdr:cNvSpPr>
          <a:spLocks noChangeShapeType="1"/>
        </xdr:cNvSpPr>
      </xdr:nvSpPr>
      <xdr:spPr bwMode="auto">
        <a:xfrm>
          <a:off x="6543675" y="30356175"/>
          <a:ext cx="1543050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333375</xdr:colOff>
      <xdr:row>136</xdr:row>
      <xdr:rowOff>0</xdr:rowOff>
    </xdr:from>
    <xdr:to>
      <xdr:col>12</xdr:col>
      <xdr:colOff>333375</xdr:colOff>
      <xdr:row>156</xdr:row>
      <xdr:rowOff>0</xdr:rowOff>
    </xdr:to>
    <xdr:sp macro="" textlink="">
      <xdr:nvSpPr>
        <xdr:cNvPr id="16749" name="Line 365"/>
        <xdr:cNvSpPr>
          <a:spLocks noChangeShapeType="1"/>
        </xdr:cNvSpPr>
      </xdr:nvSpPr>
      <xdr:spPr bwMode="auto">
        <a:xfrm flipV="1">
          <a:off x="8020050" y="26355675"/>
          <a:ext cx="0" cy="399097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333375</xdr:colOff>
      <xdr:row>145</xdr:row>
      <xdr:rowOff>95250</xdr:rowOff>
    </xdr:from>
    <xdr:to>
      <xdr:col>12</xdr:col>
      <xdr:colOff>704850</xdr:colOff>
      <xdr:row>145</xdr:row>
      <xdr:rowOff>95250</xdr:rowOff>
    </xdr:to>
    <xdr:sp macro="" textlink="">
      <xdr:nvSpPr>
        <xdr:cNvPr id="16750" name="Line 366"/>
        <xdr:cNvSpPr>
          <a:spLocks noChangeShapeType="1"/>
        </xdr:cNvSpPr>
      </xdr:nvSpPr>
      <xdr:spPr bwMode="auto">
        <a:xfrm flipH="1">
          <a:off x="8020050" y="28213050"/>
          <a:ext cx="3714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oval" w="med" len="med"/>
          <a:tailEnd type="oval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142875</xdr:colOff>
      <xdr:row>146</xdr:row>
      <xdr:rowOff>66675</xdr:rowOff>
    </xdr:from>
    <xdr:to>
      <xdr:col>6</xdr:col>
      <xdr:colOff>514350</xdr:colOff>
      <xdr:row>147</xdr:row>
      <xdr:rowOff>161925</xdr:rowOff>
    </xdr:to>
    <xdr:sp macro="" textlink="">
      <xdr:nvSpPr>
        <xdr:cNvPr id="16751" name="Line 367"/>
        <xdr:cNvSpPr>
          <a:spLocks noChangeShapeType="1"/>
        </xdr:cNvSpPr>
      </xdr:nvSpPr>
      <xdr:spPr bwMode="auto">
        <a:xfrm flipH="1">
          <a:off x="3590925" y="28394025"/>
          <a:ext cx="371475" cy="30480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723900</xdr:colOff>
      <xdr:row>144</xdr:row>
      <xdr:rowOff>66675</xdr:rowOff>
    </xdr:from>
    <xdr:to>
      <xdr:col>7</xdr:col>
      <xdr:colOff>247650</xdr:colOff>
      <xdr:row>145</xdr:row>
      <xdr:rowOff>123825</xdr:rowOff>
    </xdr:to>
    <xdr:sp macro="" textlink="">
      <xdr:nvSpPr>
        <xdr:cNvPr id="16752" name="Line 368"/>
        <xdr:cNvSpPr>
          <a:spLocks noChangeShapeType="1"/>
        </xdr:cNvSpPr>
      </xdr:nvSpPr>
      <xdr:spPr bwMode="auto">
        <a:xfrm flipV="1">
          <a:off x="4171950" y="27965400"/>
          <a:ext cx="285750" cy="2762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247650</xdr:colOff>
      <xdr:row>144</xdr:row>
      <xdr:rowOff>66675</xdr:rowOff>
    </xdr:from>
    <xdr:to>
      <xdr:col>8</xdr:col>
      <xdr:colOff>0</xdr:colOff>
      <xdr:row>144</xdr:row>
      <xdr:rowOff>66675</xdr:rowOff>
    </xdr:to>
    <xdr:sp macro="" textlink="">
      <xdr:nvSpPr>
        <xdr:cNvPr id="16753" name="Line 369"/>
        <xdr:cNvSpPr>
          <a:spLocks noChangeShapeType="1"/>
        </xdr:cNvSpPr>
      </xdr:nvSpPr>
      <xdr:spPr bwMode="auto">
        <a:xfrm>
          <a:off x="4457700" y="27965400"/>
          <a:ext cx="40957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495300</xdr:colOff>
      <xdr:row>141</xdr:row>
      <xdr:rowOff>104775</xdr:rowOff>
    </xdr:from>
    <xdr:to>
      <xdr:col>11</xdr:col>
      <xdr:colOff>9525</xdr:colOff>
      <xdr:row>141</xdr:row>
      <xdr:rowOff>114300</xdr:rowOff>
    </xdr:to>
    <xdr:sp macro="" textlink="">
      <xdr:nvSpPr>
        <xdr:cNvPr id="16754" name="Line 370"/>
        <xdr:cNvSpPr>
          <a:spLocks noChangeShapeType="1"/>
        </xdr:cNvSpPr>
      </xdr:nvSpPr>
      <xdr:spPr bwMode="auto">
        <a:xfrm flipV="1">
          <a:off x="6086475" y="27422475"/>
          <a:ext cx="876300" cy="95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66675</xdr:colOff>
      <xdr:row>141</xdr:row>
      <xdr:rowOff>114300</xdr:rowOff>
    </xdr:from>
    <xdr:to>
      <xdr:col>9</xdr:col>
      <xdr:colOff>295275</xdr:colOff>
      <xdr:row>141</xdr:row>
      <xdr:rowOff>114300</xdr:rowOff>
    </xdr:to>
    <xdr:sp macro="" textlink="">
      <xdr:nvSpPr>
        <xdr:cNvPr id="16755" name="Line 371"/>
        <xdr:cNvSpPr>
          <a:spLocks noChangeShapeType="1"/>
        </xdr:cNvSpPr>
      </xdr:nvSpPr>
      <xdr:spPr bwMode="auto">
        <a:xfrm flipH="1">
          <a:off x="5657850" y="27432000"/>
          <a:ext cx="228600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38100</xdr:colOff>
      <xdr:row>131</xdr:row>
      <xdr:rowOff>76200</xdr:rowOff>
    </xdr:from>
    <xdr:to>
      <xdr:col>6</xdr:col>
      <xdr:colOff>733425</xdr:colOff>
      <xdr:row>131</xdr:row>
      <xdr:rowOff>76200</xdr:rowOff>
    </xdr:to>
    <xdr:sp macro="" textlink="">
      <xdr:nvSpPr>
        <xdr:cNvPr id="16756" name="Line 372"/>
        <xdr:cNvSpPr>
          <a:spLocks noChangeShapeType="1"/>
        </xdr:cNvSpPr>
      </xdr:nvSpPr>
      <xdr:spPr bwMode="auto">
        <a:xfrm>
          <a:off x="2743200" y="25431750"/>
          <a:ext cx="143827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28575</xdr:colOff>
      <xdr:row>131</xdr:row>
      <xdr:rowOff>57150</xdr:rowOff>
    </xdr:from>
    <xdr:to>
      <xdr:col>9</xdr:col>
      <xdr:colOff>400050</xdr:colOff>
      <xdr:row>131</xdr:row>
      <xdr:rowOff>57150</xdr:rowOff>
    </xdr:to>
    <xdr:sp macro="" textlink="">
      <xdr:nvSpPr>
        <xdr:cNvPr id="16757" name="Line 373"/>
        <xdr:cNvSpPr>
          <a:spLocks noChangeShapeType="1"/>
        </xdr:cNvSpPr>
      </xdr:nvSpPr>
      <xdr:spPr bwMode="auto">
        <a:xfrm>
          <a:off x="4895850" y="25412700"/>
          <a:ext cx="109537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10</xdr:col>
      <xdr:colOff>276225</xdr:colOff>
      <xdr:row>153</xdr:row>
      <xdr:rowOff>28575</xdr:rowOff>
    </xdr:from>
    <xdr:ext cx="549275" cy="254000"/>
    <xdr:sp macro="" textlink="">
      <xdr:nvSpPr>
        <xdr:cNvPr id="16758" name="AutoShape 374"/>
        <xdr:cNvSpPr>
          <a:spLocks/>
        </xdr:cNvSpPr>
      </xdr:nvSpPr>
      <xdr:spPr bwMode="auto">
        <a:xfrm>
          <a:off x="6477000" y="29832300"/>
          <a:ext cx="552450" cy="247650"/>
        </a:xfrm>
        <a:prstGeom prst="borderCallout2">
          <a:avLst>
            <a:gd name="adj1" fmla="val 46153"/>
            <a:gd name="adj2" fmla="val -14037"/>
            <a:gd name="adj3" fmla="val 46153"/>
            <a:gd name="adj4" fmla="val -33333"/>
            <a:gd name="adj5" fmla="val 203847"/>
            <a:gd name="adj6" fmla="val -108773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50 clr.</a:t>
          </a:r>
        </a:p>
      </xdr:txBody>
    </xdr:sp>
    <xdr:clientData/>
  </xdr:oneCellAnchor>
  <xdr:oneCellAnchor>
    <xdr:from>
      <xdr:col>5</xdr:col>
      <xdr:colOff>561975</xdr:colOff>
      <xdr:row>136</xdr:row>
      <xdr:rowOff>104775</xdr:rowOff>
    </xdr:from>
    <xdr:ext cx="539750" cy="254000"/>
    <xdr:sp macro="" textlink="">
      <xdr:nvSpPr>
        <xdr:cNvPr id="16759" name="AutoShape 375"/>
        <xdr:cNvSpPr>
          <a:spLocks/>
        </xdr:cNvSpPr>
      </xdr:nvSpPr>
      <xdr:spPr bwMode="auto">
        <a:xfrm>
          <a:off x="3267075" y="26460450"/>
          <a:ext cx="533400" cy="247650"/>
        </a:xfrm>
        <a:prstGeom prst="borderCallout2">
          <a:avLst>
            <a:gd name="adj1" fmla="val 46153"/>
            <a:gd name="adj2" fmla="val -14287"/>
            <a:gd name="adj3" fmla="val 46153"/>
            <a:gd name="adj4" fmla="val -26787"/>
            <a:gd name="adj5" fmla="val 253847"/>
            <a:gd name="adj6" fmla="val -75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50 clr.</a:t>
          </a:r>
        </a:p>
      </xdr:txBody>
    </xdr:sp>
    <xdr:clientData/>
  </xdr:oneCellAnchor>
  <xdr:twoCellAnchor>
    <xdr:from>
      <xdr:col>4</xdr:col>
      <xdr:colOff>9525</xdr:colOff>
      <xdr:row>139</xdr:row>
      <xdr:rowOff>142875</xdr:rowOff>
    </xdr:from>
    <xdr:to>
      <xdr:col>5</xdr:col>
      <xdr:colOff>161925</xdr:colOff>
      <xdr:row>143</xdr:row>
      <xdr:rowOff>142875</xdr:rowOff>
    </xdr:to>
    <xdr:sp macro="" textlink="">
      <xdr:nvSpPr>
        <xdr:cNvPr id="16760" name="Line 376"/>
        <xdr:cNvSpPr>
          <a:spLocks noChangeShapeType="1"/>
        </xdr:cNvSpPr>
      </xdr:nvSpPr>
      <xdr:spPr bwMode="auto">
        <a:xfrm flipH="1">
          <a:off x="2095500" y="27089100"/>
          <a:ext cx="771525" cy="78105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</xdr:colOff>
      <xdr:row>156</xdr:row>
      <xdr:rowOff>0</xdr:rowOff>
    </xdr:from>
    <xdr:to>
      <xdr:col>9</xdr:col>
      <xdr:colOff>228600</xdr:colOff>
      <xdr:row>160</xdr:row>
      <xdr:rowOff>133350</xdr:rowOff>
    </xdr:to>
    <xdr:sp macro="" textlink="">
      <xdr:nvSpPr>
        <xdr:cNvPr id="16761" name="Line 377"/>
        <xdr:cNvSpPr>
          <a:spLocks noChangeShapeType="1"/>
        </xdr:cNvSpPr>
      </xdr:nvSpPr>
      <xdr:spPr bwMode="auto">
        <a:xfrm flipH="1">
          <a:off x="4886325" y="30346650"/>
          <a:ext cx="933450" cy="83820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76200</xdr:colOff>
      <xdr:row>143</xdr:row>
      <xdr:rowOff>57150</xdr:rowOff>
    </xdr:from>
    <xdr:to>
      <xdr:col>8</xdr:col>
      <xdr:colOff>66675</xdr:colOff>
      <xdr:row>160</xdr:row>
      <xdr:rowOff>95250</xdr:rowOff>
    </xdr:to>
    <xdr:sp macro="" textlink="">
      <xdr:nvSpPr>
        <xdr:cNvPr id="16762" name="Line 378"/>
        <xdr:cNvSpPr>
          <a:spLocks noChangeShapeType="1"/>
        </xdr:cNvSpPr>
      </xdr:nvSpPr>
      <xdr:spPr bwMode="auto">
        <a:xfrm flipH="1" flipV="1">
          <a:off x="2162175" y="27784425"/>
          <a:ext cx="2771775" cy="33623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114300</xdr:colOff>
      <xdr:row>150</xdr:row>
      <xdr:rowOff>28575</xdr:rowOff>
    </xdr:from>
    <xdr:to>
      <xdr:col>6</xdr:col>
      <xdr:colOff>314325</xdr:colOff>
      <xdr:row>151</xdr:row>
      <xdr:rowOff>76200</xdr:rowOff>
    </xdr:to>
    <xdr:sp macro="" textlink="">
      <xdr:nvSpPr>
        <xdr:cNvPr id="16763" name="Line 379"/>
        <xdr:cNvSpPr>
          <a:spLocks noChangeShapeType="1"/>
        </xdr:cNvSpPr>
      </xdr:nvSpPr>
      <xdr:spPr bwMode="auto">
        <a:xfrm flipH="1">
          <a:off x="3562350" y="29203650"/>
          <a:ext cx="200025" cy="25717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oval" w="med" len="med"/>
          <a:tailEnd type="oval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9525</xdr:colOff>
      <xdr:row>149</xdr:row>
      <xdr:rowOff>123825</xdr:rowOff>
    </xdr:from>
    <xdr:to>
      <xdr:col>4</xdr:col>
      <xdr:colOff>504825</xdr:colOff>
      <xdr:row>149</xdr:row>
      <xdr:rowOff>123825</xdr:rowOff>
    </xdr:to>
    <xdr:sp macro="" textlink="">
      <xdr:nvSpPr>
        <xdr:cNvPr id="16764" name="Line 380"/>
        <xdr:cNvSpPr>
          <a:spLocks noChangeShapeType="1"/>
        </xdr:cNvSpPr>
      </xdr:nvSpPr>
      <xdr:spPr bwMode="auto">
        <a:xfrm flipH="1">
          <a:off x="2095500" y="29089350"/>
          <a:ext cx="495300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123825</xdr:colOff>
      <xdr:row>149</xdr:row>
      <xdr:rowOff>133350</xdr:rowOff>
    </xdr:from>
    <xdr:to>
      <xdr:col>5</xdr:col>
      <xdr:colOff>304800</xdr:colOff>
      <xdr:row>149</xdr:row>
      <xdr:rowOff>133350</xdr:rowOff>
    </xdr:to>
    <xdr:sp macro="" textlink="">
      <xdr:nvSpPr>
        <xdr:cNvPr id="16765" name="Line 381"/>
        <xdr:cNvSpPr>
          <a:spLocks noChangeShapeType="1"/>
        </xdr:cNvSpPr>
      </xdr:nvSpPr>
      <xdr:spPr bwMode="auto">
        <a:xfrm>
          <a:off x="2828925" y="29098875"/>
          <a:ext cx="18097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447675</xdr:colOff>
      <xdr:row>136</xdr:row>
      <xdr:rowOff>38100</xdr:rowOff>
    </xdr:from>
    <xdr:to>
      <xdr:col>9</xdr:col>
      <xdr:colOff>581025</xdr:colOff>
      <xdr:row>136</xdr:row>
      <xdr:rowOff>38100</xdr:rowOff>
    </xdr:to>
    <xdr:sp macro="" textlink="">
      <xdr:nvSpPr>
        <xdr:cNvPr id="16766" name="Line 382"/>
        <xdr:cNvSpPr>
          <a:spLocks noChangeShapeType="1"/>
        </xdr:cNvSpPr>
      </xdr:nvSpPr>
      <xdr:spPr bwMode="auto">
        <a:xfrm>
          <a:off x="2533650" y="26393775"/>
          <a:ext cx="36385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400050</xdr:colOff>
      <xdr:row>139</xdr:row>
      <xdr:rowOff>114300</xdr:rowOff>
    </xdr:from>
    <xdr:to>
      <xdr:col>9</xdr:col>
      <xdr:colOff>561975</xdr:colOff>
      <xdr:row>139</xdr:row>
      <xdr:rowOff>114300</xdr:rowOff>
    </xdr:to>
    <xdr:sp macro="" textlink="">
      <xdr:nvSpPr>
        <xdr:cNvPr id="16767" name="Line 383"/>
        <xdr:cNvSpPr>
          <a:spLocks noChangeShapeType="1"/>
        </xdr:cNvSpPr>
      </xdr:nvSpPr>
      <xdr:spPr bwMode="auto">
        <a:xfrm>
          <a:off x="2486025" y="27060525"/>
          <a:ext cx="36671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133350</xdr:colOff>
      <xdr:row>138</xdr:row>
      <xdr:rowOff>19050</xdr:rowOff>
    </xdr:from>
    <xdr:to>
      <xdr:col>5</xdr:col>
      <xdr:colOff>114300</xdr:colOff>
      <xdr:row>138</xdr:row>
      <xdr:rowOff>28575</xdr:rowOff>
    </xdr:to>
    <xdr:sp macro="" textlink="">
      <xdr:nvSpPr>
        <xdr:cNvPr id="16777" name="Line 393"/>
        <xdr:cNvSpPr>
          <a:spLocks noChangeShapeType="1"/>
        </xdr:cNvSpPr>
      </xdr:nvSpPr>
      <xdr:spPr bwMode="auto">
        <a:xfrm>
          <a:off x="2219325" y="26755725"/>
          <a:ext cx="600075" cy="95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161925</xdr:colOff>
      <xdr:row>136</xdr:row>
      <xdr:rowOff>0</xdr:rowOff>
    </xdr:from>
    <xdr:to>
      <xdr:col>4</xdr:col>
      <xdr:colOff>161925</xdr:colOff>
      <xdr:row>138</xdr:row>
      <xdr:rowOff>9525</xdr:rowOff>
    </xdr:to>
    <xdr:sp macro="" textlink="">
      <xdr:nvSpPr>
        <xdr:cNvPr id="16782" name="Line 398"/>
        <xdr:cNvSpPr>
          <a:spLocks noChangeShapeType="1"/>
        </xdr:cNvSpPr>
      </xdr:nvSpPr>
      <xdr:spPr bwMode="auto">
        <a:xfrm flipV="1">
          <a:off x="2247900" y="26355675"/>
          <a:ext cx="0" cy="3905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161925</xdr:colOff>
      <xdr:row>133</xdr:row>
      <xdr:rowOff>95250</xdr:rowOff>
    </xdr:from>
    <xdr:to>
      <xdr:col>4</xdr:col>
      <xdr:colOff>161925</xdr:colOff>
      <xdr:row>135</xdr:row>
      <xdr:rowOff>190500</xdr:rowOff>
    </xdr:to>
    <xdr:sp macro="" textlink="">
      <xdr:nvSpPr>
        <xdr:cNvPr id="16783" name="Line 399"/>
        <xdr:cNvSpPr>
          <a:spLocks noChangeShapeType="1"/>
        </xdr:cNvSpPr>
      </xdr:nvSpPr>
      <xdr:spPr bwMode="auto">
        <a:xfrm flipV="1">
          <a:off x="2247900" y="25869900"/>
          <a:ext cx="0" cy="47625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723900</xdr:colOff>
      <xdr:row>137</xdr:row>
      <xdr:rowOff>190500</xdr:rowOff>
    </xdr:from>
    <xdr:to>
      <xdr:col>3</xdr:col>
      <xdr:colOff>390525</xdr:colOff>
      <xdr:row>138</xdr:row>
      <xdr:rowOff>104775</xdr:rowOff>
    </xdr:to>
    <xdr:sp macro="" textlink="">
      <xdr:nvSpPr>
        <xdr:cNvPr id="16784" name="Line 400"/>
        <xdr:cNvSpPr>
          <a:spLocks noChangeShapeType="1"/>
        </xdr:cNvSpPr>
      </xdr:nvSpPr>
      <xdr:spPr bwMode="auto">
        <a:xfrm flipV="1">
          <a:off x="1295400" y="26717625"/>
          <a:ext cx="400050" cy="1238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oval" w="med" len="med"/>
          <a:tailEnd type="oval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133</xdr:row>
      <xdr:rowOff>95250</xdr:rowOff>
    </xdr:from>
    <xdr:to>
      <xdr:col>4</xdr:col>
      <xdr:colOff>171450</xdr:colOff>
      <xdr:row>133</xdr:row>
      <xdr:rowOff>95250</xdr:rowOff>
    </xdr:to>
    <xdr:sp macro="" textlink="">
      <xdr:nvSpPr>
        <xdr:cNvPr id="16786" name="Line 402"/>
        <xdr:cNvSpPr>
          <a:spLocks noChangeShapeType="1"/>
        </xdr:cNvSpPr>
      </xdr:nvSpPr>
      <xdr:spPr bwMode="auto">
        <a:xfrm flipH="1">
          <a:off x="1314450" y="25869900"/>
          <a:ext cx="94297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104775</xdr:colOff>
      <xdr:row>133</xdr:row>
      <xdr:rowOff>9525</xdr:rowOff>
    </xdr:from>
    <xdr:to>
      <xdr:col>5</xdr:col>
      <xdr:colOff>104775</xdr:colOff>
      <xdr:row>138</xdr:row>
      <xdr:rowOff>0</xdr:rowOff>
    </xdr:to>
    <xdr:sp macro="" textlink="">
      <xdr:nvSpPr>
        <xdr:cNvPr id="16787" name="Line 403"/>
        <xdr:cNvSpPr>
          <a:spLocks noChangeShapeType="1"/>
        </xdr:cNvSpPr>
      </xdr:nvSpPr>
      <xdr:spPr bwMode="auto">
        <a:xfrm flipV="1">
          <a:off x="2809875" y="25784175"/>
          <a:ext cx="0" cy="95250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114300</xdr:colOff>
      <xdr:row>133</xdr:row>
      <xdr:rowOff>104775</xdr:rowOff>
    </xdr:from>
    <xdr:to>
      <xdr:col>6</xdr:col>
      <xdr:colOff>0</xdr:colOff>
      <xdr:row>133</xdr:row>
      <xdr:rowOff>104775</xdr:rowOff>
    </xdr:to>
    <xdr:sp macro="" textlink="">
      <xdr:nvSpPr>
        <xdr:cNvPr id="16788" name="Line 404"/>
        <xdr:cNvSpPr>
          <a:spLocks noChangeShapeType="1"/>
        </xdr:cNvSpPr>
      </xdr:nvSpPr>
      <xdr:spPr bwMode="auto">
        <a:xfrm flipV="1">
          <a:off x="2819400" y="25879425"/>
          <a:ext cx="628650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342900</xdr:colOff>
      <xdr:row>133</xdr:row>
      <xdr:rowOff>104775</xdr:rowOff>
    </xdr:from>
    <xdr:to>
      <xdr:col>5</xdr:col>
      <xdr:colOff>28575</xdr:colOff>
      <xdr:row>133</xdr:row>
      <xdr:rowOff>104775</xdr:rowOff>
    </xdr:to>
    <xdr:sp macro="" textlink="">
      <xdr:nvSpPr>
        <xdr:cNvPr id="16789" name="Line 405"/>
        <xdr:cNvSpPr>
          <a:spLocks noChangeShapeType="1"/>
        </xdr:cNvSpPr>
      </xdr:nvSpPr>
      <xdr:spPr bwMode="auto">
        <a:xfrm>
          <a:off x="2428875" y="25879425"/>
          <a:ext cx="304800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390525</xdr:colOff>
      <xdr:row>158</xdr:row>
      <xdr:rowOff>114300</xdr:rowOff>
    </xdr:from>
    <xdr:to>
      <xdr:col>10</xdr:col>
      <xdr:colOff>323850</xdr:colOff>
      <xdr:row>158</xdr:row>
      <xdr:rowOff>123825</xdr:rowOff>
    </xdr:to>
    <xdr:sp macro="" textlink="">
      <xdr:nvSpPr>
        <xdr:cNvPr id="16790" name="Line 406"/>
        <xdr:cNvSpPr>
          <a:spLocks noChangeShapeType="1"/>
        </xdr:cNvSpPr>
      </xdr:nvSpPr>
      <xdr:spPr bwMode="auto">
        <a:xfrm>
          <a:off x="2476500" y="30784800"/>
          <a:ext cx="4048125" cy="95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428625</xdr:colOff>
      <xdr:row>156</xdr:row>
      <xdr:rowOff>66675</xdr:rowOff>
    </xdr:from>
    <xdr:to>
      <xdr:col>10</xdr:col>
      <xdr:colOff>257175</xdr:colOff>
      <xdr:row>156</xdr:row>
      <xdr:rowOff>66675</xdr:rowOff>
    </xdr:to>
    <xdr:sp macro="" textlink="">
      <xdr:nvSpPr>
        <xdr:cNvPr id="16791" name="Line 407"/>
        <xdr:cNvSpPr>
          <a:spLocks noChangeShapeType="1"/>
        </xdr:cNvSpPr>
      </xdr:nvSpPr>
      <xdr:spPr bwMode="auto">
        <a:xfrm>
          <a:off x="2514600" y="30413325"/>
          <a:ext cx="39433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428625</xdr:colOff>
      <xdr:row>158</xdr:row>
      <xdr:rowOff>66675</xdr:rowOff>
    </xdr:from>
    <xdr:to>
      <xdr:col>10</xdr:col>
      <xdr:colOff>257175</xdr:colOff>
      <xdr:row>158</xdr:row>
      <xdr:rowOff>66675</xdr:rowOff>
    </xdr:to>
    <xdr:sp macro="" textlink="">
      <xdr:nvSpPr>
        <xdr:cNvPr id="16793" name="Line 409"/>
        <xdr:cNvSpPr>
          <a:spLocks noChangeShapeType="1"/>
        </xdr:cNvSpPr>
      </xdr:nvSpPr>
      <xdr:spPr bwMode="auto">
        <a:xfrm>
          <a:off x="2514600" y="30737175"/>
          <a:ext cx="39433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247650</xdr:colOff>
      <xdr:row>157</xdr:row>
      <xdr:rowOff>76200</xdr:rowOff>
    </xdr:from>
    <xdr:to>
      <xdr:col>11</xdr:col>
      <xdr:colOff>457200</xdr:colOff>
      <xdr:row>157</xdr:row>
      <xdr:rowOff>76200</xdr:rowOff>
    </xdr:to>
    <xdr:sp macro="" textlink="">
      <xdr:nvSpPr>
        <xdr:cNvPr id="16794" name="Line 410"/>
        <xdr:cNvSpPr>
          <a:spLocks noChangeShapeType="1"/>
        </xdr:cNvSpPr>
      </xdr:nvSpPr>
      <xdr:spPr bwMode="auto">
        <a:xfrm flipV="1">
          <a:off x="5838825" y="30584775"/>
          <a:ext cx="157162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352425</xdr:colOff>
      <xdr:row>153</xdr:row>
      <xdr:rowOff>152400</xdr:rowOff>
    </xdr:from>
    <xdr:to>
      <xdr:col>11</xdr:col>
      <xdr:colOff>352425</xdr:colOff>
      <xdr:row>156</xdr:row>
      <xdr:rowOff>9525</xdr:rowOff>
    </xdr:to>
    <xdr:sp macro="" textlink="">
      <xdr:nvSpPr>
        <xdr:cNvPr id="16795" name="Line 411"/>
        <xdr:cNvSpPr>
          <a:spLocks noChangeShapeType="1"/>
        </xdr:cNvSpPr>
      </xdr:nvSpPr>
      <xdr:spPr bwMode="auto">
        <a:xfrm flipV="1">
          <a:off x="7305675" y="29956125"/>
          <a:ext cx="0" cy="40005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352425</xdr:colOff>
      <xdr:row>157</xdr:row>
      <xdr:rowOff>66675</xdr:rowOff>
    </xdr:from>
    <xdr:to>
      <xdr:col>11</xdr:col>
      <xdr:colOff>352425</xdr:colOff>
      <xdr:row>159</xdr:row>
      <xdr:rowOff>85725</xdr:rowOff>
    </xdr:to>
    <xdr:sp macro="" textlink="">
      <xdr:nvSpPr>
        <xdr:cNvPr id="16796" name="Line 412"/>
        <xdr:cNvSpPr>
          <a:spLocks noChangeShapeType="1"/>
        </xdr:cNvSpPr>
      </xdr:nvSpPr>
      <xdr:spPr bwMode="auto">
        <a:xfrm flipV="1">
          <a:off x="7305675" y="30575250"/>
          <a:ext cx="0" cy="3524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352425</xdr:colOff>
      <xdr:row>156</xdr:row>
      <xdr:rowOff>19050</xdr:rowOff>
    </xdr:from>
    <xdr:to>
      <xdr:col>11</xdr:col>
      <xdr:colOff>352425</xdr:colOff>
      <xdr:row>157</xdr:row>
      <xdr:rowOff>66675</xdr:rowOff>
    </xdr:to>
    <xdr:sp macro="" textlink="">
      <xdr:nvSpPr>
        <xdr:cNvPr id="16797" name="Line 413"/>
        <xdr:cNvSpPr>
          <a:spLocks noChangeShapeType="1"/>
        </xdr:cNvSpPr>
      </xdr:nvSpPr>
      <xdr:spPr bwMode="auto">
        <a:xfrm flipH="1" flipV="1">
          <a:off x="7305675" y="30365700"/>
          <a:ext cx="0" cy="20955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180975</xdr:colOff>
      <xdr:row>322</xdr:row>
      <xdr:rowOff>9525</xdr:rowOff>
    </xdr:from>
    <xdr:to>
      <xdr:col>21</xdr:col>
      <xdr:colOff>180975</xdr:colOff>
      <xdr:row>324</xdr:row>
      <xdr:rowOff>28575</xdr:rowOff>
    </xdr:to>
    <xdr:sp macro="" textlink="">
      <xdr:nvSpPr>
        <xdr:cNvPr id="16799" name="Line 415"/>
        <xdr:cNvSpPr>
          <a:spLocks noChangeShapeType="1"/>
        </xdr:cNvSpPr>
      </xdr:nvSpPr>
      <xdr:spPr bwMode="auto">
        <a:xfrm flipV="1">
          <a:off x="11715750" y="58597800"/>
          <a:ext cx="0" cy="34290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361950</xdr:colOff>
      <xdr:row>159</xdr:row>
      <xdr:rowOff>85725</xdr:rowOff>
    </xdr:from>
    <xdr:to>
      <xdr:col>11</xdr:col>
      <xdr:colOff>714375</xdr:colOff>
      <xdr:row>159</xdr:row>
      <xdr:rowOff>85725</xdr:rowOff>
    </xdr:to>
    <xdr:sp macro="" textlink="">
      <xdr:nvSpPr>
        <xdr:cNvPr id="16800" name="Line 416"/>
        <xdr:cNvSpPr>
          <a:spLocks noChangeShapeType="1"/>
        </xdr:cNvSpPr>
      </xdr:nvSpPr>
      <xdr:spPr bwMode="auto">
        <a:xfrm flipV="1">
          <a:off x="7315200" y="30927675"/>
          <a:ext cx="35242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47625</xdr:colOff>
      <xdr:row>137</xdr:row>
      <xdr:rowOff>152400</xdr:rowOff>
    </xdr:from>
    <xdr:to>
      <xdr:col>5</xdr:col>
      <xdr:colOff>161925</xdr:colOff>
      <xdr:row>138</xdr:row>
      <xdr:rowOff>57150</xdr:rowOff>
    </xdr:to>
    <xdr:sp macro="" textlink="">
      <xdr:nvSpPr>
        <xdr:cNvPr id="16801" name="Oval 417"/>
        <xdr:cNvSpPr>
          <a:spLocks noChangeArrowheads="1"/>
        </xdr:cNvSpPr>
      </xdr:nvSpPr>
      <xdr:spPr bwMode="auto">
        <a:xfrm>
          <a:off x="2752725" y="26679525"/>
          <a:ext cx="114300" cy="1143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</xdr:spPr>
    </xdr:sp>
    <xdr:clientData/>
  </xdr:twoCellAnchor>
  <xdr:twoCellAnchor>
    <xdr:from>
      <xdr:col>9</xdr:col>
      <xdr:colOff>200025</xdr:colOff>
      <xdr:row>157</xdr:row>
      <xdr:rowOff>28575</xdr:rowOff>
    </xdr:from>
    <xdr:to>
      <xdr:col>9</xdr:col>
      <xdr:colOff>314325</xdr:colOff>
      <xdr:row>157</xdr:row>
      <xdr:rowOff>142875</xdr:rowOff>
    </xdr:to>
    <xdr:sp macro="" textlink="">
      <xdr:nvSpPr>
        <xdr:cNvPr id="16802" name="Oval 418"/>
        <xdr:cNvSpPr>
          <a:spLocks noChangeArrowheads="1"/>
        </xdr:cNvSpPr>
      </xdr:nvSpPr>
      <xdr:spPr bwMode="auto">
        <a:xfrm>
          <a:off x="5791200" y="30537150"/>
          <a:ext cx="114300" cy="1143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</xdr:spPr>
    </xdr:sp>
    <xdr:clientData/>
  </xdr:twoCellAnchor>
  <xdr:twoCellAnchor>
    <xdr:from>
      <xdr:col>9</xdr:col>
      <xdr:colOff>266700</xdr:colOff>
      <xdr:row>157</xdr:row>
      <xdr:rowOff>114300</xdr:rowOff>
    </xdr:from>
    <xdr:to>
      <xdr:col>9</xdr:col>
      <xdr:colOff>266700</xdr:colOff>
      <xdr:row>161</xdr:row>
      <xdr:rowOff>152400</xdr:rowOff>
    </xdr:to>
    <xdr:sp macro="" textlink="">
      <xdr:nvSpPr>
        <xdr:cNvPr id="16803" name="Line 419"/>
        <xdr:cNvSpPr>
          <a:spLocks noChangeShapeType="1"/>
        </xdr:cNvSpPr>
      </xdr:nvSpPr>
      <xdr:spPr bwMode="auto">
        <a:xfrm>
          <a:off x="5857875" y="30622875"/>
          <a:ext cx="0" cy="79057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66675</xdr:colOff>
      <xdr:row>161</xdr:row>
      <xdr:rowOff>104775</xdr:rowOff>
    </xdr:from>
    <xdr:to>
      <xdr:col>9</xdr:col>
      <xdr:colOff>295275</xdr:colOff>
      <xdr:row>161</xdr:row>
      <xdr:rowOff>104775</xdr:rowOff>
    </xdr:to>
    <xdr:sp macro="" textlink="">
      <xdr:nvSpPr>
        <xdr:cNvPr id="16804" name="Line 420"/>
        <xdr:cNvSpPr>
          <a:spLocks noChangeShapeType="1"/>
        </xdr:cNvSpPr>
      </xdr:nvSpPr>
      <xdr:spPr bwMode="auto">
        <a:xfrm flipH="1">
          <a:off x="5657850" y="31365825"/>
          <a:ext cx="228600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161</xdr:row>
      <xdr:rowOff>85725</xdr:rowOff>
    </xdr:from>
    <xdr:to>
      <xdr:col>10</xdr:col>
      <xdr:colOff>676275</xdr:colOff>
      <xdr:row>161</xdr:row>
      <xdr:rowOff>85725</xdr:rowOff>
    </xdr:to>
    <xdr:sp macro="" textlink="">
      <xdr:nvSpPr>
        <xdr:cNvPr id="16805" name="Line 421"/>
        <xdr:cNvSpPr>
          <a:spLocks noChangeShapeType="1"/>
        </xdr:cNvSpPr>
      </xdr:nvSpPr>
      <xdr:spPr bwMode="auto">
        <a:xfrm>
          <a:off x="6010275" y="31346775"/>
          <a:ext cx="86677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466725</xdr:colOff>
      <xdr:row>154</xdr:row>
      <xdr:rowOff>0</xdr:rowOff>
    </xdr:from>
    <xdr:to>
      <xdr:col>5</xdr:col>
      <xdr:colOff>466725</xdr:colOff>
      <xdr:row>156</xdr:row>
      <xdr:rowOff>19050</xdr:rowOff>
    </xdr:to>
    <xdr:sp macro="" textlink="">
      <xdr:nvSpPr>
        <xdr:cNvPr id="16806" name="Line 422"/>
        <xdr:cNvSpPr>
          <a:spLocks noChangeShapeType="1"/>
        </xdr:cNvSpPr>
      </xdr:nvSpPr>
      <xdr:spPr bwMode="auto">
        <a:xfrm flipV="1">
          <a:off x="3171825" y="30013275"/>
          <a:ext cx="0" cy="3524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485775</xdr:colOff>
      <xdr:row>158</xdr:row>
      <xdr:rowOff>114300</xdr:rowOff>
    </xdr:from>
    <xdr:to>
      <xdr:col>5</xdr:col>
      <xdr:colOff>485775</xdr:colOff>
      <xdr:row>160</xdr:row>
      <xdr:rowOff>114300</xdr:rowOff>
    </xdr:to>
    <xdr:sp macro="" textlink="">
      <xdr:nvSpPr>
        <xdr:cNvPr id="16807" name="Line 423"/>
        <xdr:cNvSpPr>
          <a:spLocks noChangeShapeType="1"/>
        </xdr:cNvSpPr>
      </xdr:nvSpPr>
      <xdr:spPr bwMode="auto">
        <a:xfrm flipV="1">
          <a:off x="3190875" y="30784800"/>
          <a:ext cx="0" cy="38100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160</xdr:row>
      <xdr:rowOff>114300</xdr:rowOff>
    </xdr:from>
    <xdr:to>
      <xdr:col>5</xdr:col>
      <xdr:colOff>466725</xdr:colOff>
      <xdr:row>160</xdr:row>
      <xdr:rowOff>114300</xdr:rowOff>
    </xdr:to>
    <xdr:sp macro="" textlink="">
      <xdr:nvSpPr>
        <xdr:cNvPr id="16808" name="Line 424"/>
        <xdr:cNvSpPr>
          <a:spLocks noChangeShapeType="1"/>
        </xdr:cNvSpPr>
      </xdr:nvSpPr>
      <xdr:spPr bwMode="auto">
        <a:xfrm>
          <a:off x="2705100" y="31165800"/>
          <a:ext cx="46672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141</xdr:row>
      <xdr:rowOff>200025</xdr:rowOff>
    </xdr:from>
    <xdr:to>
      <xdr:col>6</xdr:col>
      <xdr:colOff>428625</xdr:colOff>
      <xdr:row>142</xdr:row>
      <xdr:rowOff>95250</xdr:rowOff>
    </xdr:to>
    <xdr:sp macro="" textlink="">
      <xdr:nvSpPr>
        <xdr:cNvPr id="16809" name="Line 425"/>
        <xdr:cNvSpPr>
          <a:spLocks noChangeShapeType="1"/>
        </xdr:cNvSpPr>
      </xdr:nvSpPr>
      <xdr:spPr bwMode="auto">
        <a:xfrm flipV="1">
          <a:off x="3752850" y="27517725"/>
          <a:ext cx="123825" cy="10477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409575</xdr:colOff>
      <xdr:row>139</xdr:row>
      <xdr:rowOff>142875</xdr:rowOff>
    </xdr:from>
    <xdr:to>
      <xdr:col>6</xdr:col>
      <xdr:colOff>476250</xdr:colOff>
      <xdr:row>140</xdr:row>
      <xdr:rowOff>133350</xdr:rowOff>
    </xdr:to>
    <xdr:sp macro="" textlink="">
      <xdr:nvSpPr>
        <xdr:cNvPr id="16810" name="Line 426"/>
        <xdr:cNvSpPr>
          <a:spLocks noChangeShapeType="1"/>
        </xdr:cNvSpPr>
      </xdr:nvSpPr>
      <xdr:spPr bwMode="auto">
        <a:xfrm>
          <a:off x="3857625" y="27089100"/>
          <a:ext cx="66675" cy="19050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247650</xdr:colOff>
      <xdr:row>139</xdr:row>
      <xdr:rowOff>161925</xdr:rowOff>
    </xdr:from>
    <xdr:to>
      <xdr:col>6</xdr:col>
      <xdr:colOff>485775</xdr:colOff>
      <xdr:row>142</xdr:row>
      <xdr:rowOff>66675</xdr:rowOff>
    </xdr:to>
    <xdr:sp macro="" textlink="">
      <xdr:nvSpPr>
        <xdr:cNvPr id="16811" name="AutoShape 427"/>
        <xdr:cNvSpPr>
          <a:spLocks noChangeArrowheads="1"/>
        </xdr:cNvSpPr>
      </xdr:nvSpPr>
      <xdr:spPr bwMode="auto">
        <a:xfrm rot="5724712">
          <a:off x="3571875" y="27231975"/>
          <a:ext cx="485775" cy="238125"/>
        </a:xfrm>
        <a:custGeom>
          <a:avLst/>
          <a:gdLst>
            <a:gd name="G0" fmla="+- 10800 0 0"/>
            <a:gd name="G1" fmla="+- 11796480 0 0"/>
            <a:gd name="G2" fmla="+- 0 0 11796480"/>
            <a:gd name="T0" fmla="*/ 0 256 1"/>
            <a:gd name="T1" fmla="*/ 180 256 1"/>
            <a:gd name="G3" fmla="+- 11796480 T0 T1"/>
            <a:gd name="T2" fmla="*/ 0 256 1"/>
            <a:gd name="T3" fmla="*/ 90 256 1"/>
            <a:gd name="G4" fmla="+- 11796480 T2 T3"/>
            <a:gd name="G5" fmla="*/ G4 2 1"/>
            <a:gd name="T4" fmla="*/ 90 256 1"/>
            <a:gd name="T5" fmla="*/ 0 256 1"/>
            <a:gd name="G6" fmla="+- 11796480 T4 T5"/>
            <a:gd name="G7" fmla="*/ G6 2 1"/>
            <a:gd name="G8" fmla="abs 11796480"/>
            <a:gd name="T6" fmla="*/ 0 256 1"/>
            <a:gd name="T7" fmla="*/ 90 256 1"/>
            <a:gd name="G9" fmla="+- G8 T6 T7"/>
            <a:gd name="G10" fmla="?: G9 G7 G5"/>
            <a:gd name="T8" fmla="*/ 0 256 1"/>
            <a:gd name="T9" fmla="*/ 360 256 1"/>
            <a:gd name="G11" fmla="+- G10 T8 T9"/>
            <a:gd name="G12" fmla="?: G10 G11 G10"/>
            <a:gd name="T10" fmla="*/ 0 256 1"/>
            <a:gd name="T11" fmla="*/ 360 256 1"/>
            <a:gd name="G13" fmla="+- G12 T10 T11"/>
            <a:gd name="G14" fmla="?: G12 G13 G12"/>
            <a:gd name="G15" fmla="+- 0 0 G14"/>
            <a:gd name="G16" fmla="+- 10800 0 0"/>
            <a:gd name="G17" fmla="+- 10800 0 10800"/>
            <a:gd name="G18" fmla="*/ 10800 1 2"/>
            <a:gd name="G19" fmla="+- G18 5400 0"/>
            <a:gd name="G20" fmla="cos G19 11796480"/>
            <a:gd name="G21" fmla="sin G19 11796480"/>
            <a:gd name="G22" fmla="+- G20 10800 0"/>
            <a:gd name="G23" fmla="+- G21 10800 0"/>
            <a:gd name="G24" fmla="+- 10800 0 G20"/>
            <a:gd name="G25" fmla="+- 10800 10800 0"/>
            <a:gd name="G26" fmla="?: G9 G17 G25"/>
            <a:gd name="G27" fmla="?: G9 0 21600"/>
            <a:gd name="G28" fmla="cos 10800 11796480"/>
            <a:gd name="G29" fmla="sin 10800 11796480"/>
            <a:gd name="G30" fmla="sin 10800 11796480"/>
            <a:gd name="G31" fmla="+- G28 10800 0"/>
            <a:gd name="G32" fmla="+- G29 10800 0"/>
            <a:gd name="G33" fmla="+- G30 10800 0"/>
            <a:gd name="G34" fmla="?: G4 0 G31"/>
            <a:gd name="G35" fmla="?: 11796480 G34 0"/>
            <a:gd name="G36" fmla="?: G6 G35 G31"/>
            <a:gd name="G37" fmla="+- 21600 0 G36"/>
            <a:gd name="G38" fmla="?: G4 0 G33"/>
            <a:gd name="G39" fmla="?: 11796480 G38 G32"/>
            <a:gd name="G40" fmla="?: G6 G39 0"/>
            <a:gd name="G41" fmla="?: G4 G32 21600"/>
            <a:gd name="G42" fmla="?: G6 G41 G33"/>
            <a:gd name="T12" fmla="*/ 10800 w 21600"/>
            <a:gd name="T13" fmla="*/ 0 h 21600"/>
            <a:gd name="T14" fmla="*/ 0 w 21600"/>
            <a:gd name="T15" fmla="*/ 10800 h 21600"/>
            <a:gd name="T16" fmla="*/ 10800 w 21600"/>
            <a:gd name="T17" fmla="*/ 0 h 21600"/>
            <a:gd name="T18" fmla="*/ 21600 w 21600"/>
            <a:gd name="T19" fmla="*/ 10800 h 21600"/>
            <a:gd name="T20" fmla="*/ G36 w 21600"/>
            <a:gd name="T21" fmla="*/ G40 h 21600"/>
            <a:gd name="T22" fmla="*/ G37 w 21600"/>
            <a:gd name="T23" fmla="*/ G42 h 21600"/>
          </a:gdLst>
          <a:ahLst/>
          <a:cxnLst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</a:cxnLst>
          <a:rect l="T20" t="T21" r="T22" b="T23"/>
          <a:pathLst>
            <a:path w="21600" h="21600">
              <a:moveTo>
                <a:pt x="0" y="10800"/>
              </a:moveTo>
              <a:cubicBezTo>
                <a:pt x="0" y="4835"/>
                <a:pt x="4835" y="0"/>
                <a:pt x="10800" y="0"/>
              </a:cubicBezTo>
              <a:cubicBezTo>
                <a:pt x="16764" y="-1"/>
                <a:pt x="21599" y="4835"/>
                <a:pt x="21600" y="10799"/>
              </a:cubicBezTo>
              <a:lnTo>
                <a:pt x="21600" y="10800"/>
              </a:lnTo>
              <a:cubicBezTo>
                <a:pt x="21600" y="4835"/>
                <a:pt x="16764" y="0"/>
                <a:pt x="10800" y="0"/>
              </a:cubicBezTo>
              <a:cubicBezTo>
                <a:pt x="4835" y="0"/>
                <a:pt x="0" y="4835"/>
                <a:pt x="0" y="10800"/>
              </a:cubicBezTo>
              <a:close/>
            </a:path>
          </a:pathLst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476250</xdr:colOff>
      <xdr:row>141</xdr:row>
      <xdr:rowOff>57150</xdr:rowOff>
    </xdr:from>
    <xdr:to>
      <xdr:col>6</xdr:col>
      <xdr:colOff>752475</xdr:colOff>
      <xdr:row>141</xdr:row>
      <xdr:rowOff>114300</xdr:rowOff>
    </xdr:to>
    <xdr:sp macro="" textlink="">
      <xdr:nvSpPr>
        <xdr:cNvPr id="16812" name="Line 428"/>
        <xdr:cNvSpPr>
          <a:spLocks noChangeShapeType="1"/>
        </xdr:cNvSpPr>
      </xdr:nvSpPr>
      <xdr:spPr bwMode="auto">
        <a:xfrm flipH="1" flipV="1">
          <a:off x="3924300" y="27374850"/>
          <a:ext cx="276225" cy="571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oval" w="med" len="med"/>
          <a:tailEnd type="oval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8</xdr:col>
      <xdr:colOff>0</xdr:colOff>
      <xdr:row>141</xdr:row>
      <xdr:rowOff>28575</xdr:rowOff>
    </xdr:from>
    <xdr:ext cx="428625" cy="215900"/>
    <xdr:sp macro="" textlink="">
      <xdr:nvSpPr>
        <xdr:cNvPr id="16813" name="Text Box 429"/>
        <xdr:cNvSpPr txBox="1">
          <a:spLocks noChangeArrowheads="1"/>
        </xdr:cNvSpPr>
      </xdr:nvSpPr>
      <xdr:spPr bwMode="auto">
        <a:xfrm>
          <a:off x="4867275" y="27346275"/>
          <a:ext cx="4286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Deg</a:t>
          </a: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</a:p>
      </xdr:txBody>
    </xdr:sp>
    <xdr:clientData/>
  </xdr:oneCellAnchor>
  <xdr:oneCellAnchor>
    <xdr:from>
      <xdr:col>4</xdr:col>
      <xdr:colOff>352425</xdr:colOff>
      <xdr:row>132</xdr:row>
      <xdr:rowOff>28575</xdr:rowOff>
    </xdr:from>
    <xdr:ext cx="171450" cy="273050"/>
    <xdr:sp macro="" textlink="">
      <xdr:nvSpPr>
        <xdr:cNvPr id="16814" name="Text Box 430"/>
        <xdr:cNvSpPr txBox="1">
          <a:spLocks noChangeArrowheads="1"/>
        </xdr:cNvSpPr>
      </xdr:nvSpPr>
      <xdr:spPr bwMode="auto">
        <a:xfrm>
          <a:off x="2438400" y="25593675"/>
          <a:ext cx="1714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oneCellAnchor>
  <xdr:oneCellAnchor>
    <xdr:from>
      <xdr:col>5</xdr:col>
      <xdr:colOff>38100</xdr:colOff>
      <xdr:row>132</xdr:row>
      <xdr:rowOff>38100</xdr:rowOff>
    </xdr:from>
    <xdr:ext cx="200025" cy="273050"/>
    <xdr:sp macro="" textlink="">
      <xdr:nvSpPr>
        <xdr:cNvPr id="16815" name="Text Box 431"/>
        <xdr:cNvSpPr txBox="1">
          <a:spLocks noChangeArrowheads="1"/>
        </xdr:cNvSpPr>
      </xdr:nvSpPr>
      <xdr:spPr bwMode="auto">
        <a:xfrm>
          <a:off x="2743200" y="25603200"/>
          <a:ext cx="2000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oneCellAnchor>
  <xdr:oneCellAnchor>
    <xdr:from>
      <xdr:col>9</xdr:col>
      <xdr:colOff>219075</xdr:colOff>
      <xdr:row>161</xdr:row>
      <xdr:rowOff>123825</xdr:rowOff>
    </xdr:from>
    <xdr:ext cx="200025" cy="276225"/>
    <xdr:sp macro="" textlink="">
      <xdr:nvSpPr>
        <xdr:cNvPr id="16816" name="Text Box 432"/>
        <xdr:cNvSpPr txBox="1">
          <a:spLocks noChangeArrowheads="1"/>
        </xdr:cNvSpPr>
      </xdr:nvSpPr>
      <xdr:spPr bwMode="auto">
        <a:xfrm>
          <a:off x="5810250" y="31384875"/>
          <a:ext cx="2000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oneCellAnchor>
  <xdr:oneCellAnchor>
    <xdr:from>
      <xdr:col>9</xdr:col>
      <xdr:colOff>523875</xdr:colOff>
      <xdr:row>161</xdr:row>
      <xdr:rowOff>142875</xdr:rowOff>
    </xdr:from>
    <xdr:ext cx="161925" cy="276225"/>
    <xdr:sp macro="" textlink="">
      <xdr:nvSpPr>
        <xdr:cNvPr id="16817" name="Text Box 433"/>
        <xdr:cNvSpPr txBox="1">
          <a:spLocks noChangeArrowheads="1"/>
        </xdr:cNvSpPr>
      </xdr:nvSpPr>
      <xdr:spPr bwMode="auto">
        <a:xfrm>
          <a:off x="6115050" y="31403925"/>
          <a:ext cx="1619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oneCellAnchor>
  <xdr:oneCellAnchor>
    <xdr:from>
      <xdr:col>8</xdr:col>
      <xdr:colOff>0</xdr:colOff>
      <xdr:row>10</xdr:row>
      <xdr:rowOff>28575</xdr:rowOff>
    </xdr:from>
    <xdr:ext cx="428625" cy="215900"/>
    <xdr:sp macro="" textlink="">
      <xdr:nvSpPr>
        <xdr:cNvPr id="16818" name="Text Box 434"/>
        <xdr:cNvSpPr txBox="1">
          <a:spLocks noChangeArrowheads="1"/>
        </xdr:cNvSpPr>
      </xdr:nvSpPr>
      <xdr:spPr bwMode="auto">
        <a:xfrm>
          <a:off x="4867275" y="2085975"/>
          <a:ext cx="4286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Deg</a:t>
          </a: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</a:p>
      </xdr:txBody>
    </xdr:sp>
    <xdr:clientData/>
  </xdr:oneCellAnchor>
  <xdr:twoCellAnchor>
    <xdr:from>
      <xdr:col>4</xdr:col>
      <xdr:colOff>76200</xdr:colOff>
      <xdr:row>6</xdr:row>
      <xdr:rowOff>190500</xdr:rowOff>
    </xdr:from>
    <xdr:to>
      <xdr:col>5</xdr:col>
      <xdr:colOff>0</xdr:colOff>
      <xdr:row>6</xdr:row>
      <xdr:rowOff>190500</xdr:rowOff>
    </xdr:to>
    <xdr:sp macro="" textlink="">
      <xdr:nvSpPr>
        <xdr:cNvPr id="16819" name="Line 435"/>
        <xdr:cNvSpPr>
          <a:spLocks noChangeShapeType="1"/>
        </xdr:cNvSpPr>
      </xdr:nvSpPr>
      <xdr:spPr bwMode="auto">
        <a:xfrm flipH="1">
          <a:off x="2162175" y="1457325"/>
          <a:ext cx="54292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38100</xdr:colOff>
      <xdr:row>8</xdr:row>
      <xdr:rowOff>142875</xdr:rowOff>
    </xdr:from>
    <xdr:to>
      <xdr:col>6</xdr:col>
      <xdr:colOff>276225</xdr:colOff>
      <xdr:row>11</xdr:row>
      <xdr:rowOff>47625</xdr:rowOff>
    </xdr:to>
    <xdr:sp macro="" textlink="">
      <xdr:nvSpPr>
        <xdr:cNvPr id="16820" name="AutoShape 436"/>
        <xdr:cNvSpPr>
          <a:spLocks noChangeArrowheads="1"/>
        </xdr:cNvSpPr>
      </xdr:nvSpPr>
      <xdr:spPr bwMode="auto">
        <a:xfrm rot="5724712">
          <a:off x="3362325" y="1952625"/>
          <a:ext cx="485775" cy="238125"/>
        </a:xfrm>
        <a:custGeom>
          <a:avLst/>
          <a:gdLst>
            <a:gd name="G0" fmla="+- 10800 0 0"/>
            <a:gd name="G1" fmla="+- 11796480 0 0"/>
            <a:gd name="G2" fmla="+- 0 0 11796480"/>
            <a:gd name="T0" fmla="*/ 0 256 1"/>
            <a:gd name="T1" fmla="*/ 180 256 1"/>
            <a:gd name="G3" fmla="+- 11796480 T0 T1"/>
            <a:gd name="T2" fmla="*/ 0 256 1"/>
            <a:gd name="T3" fmla="*/ 90 256 1"/>
            <a:gd name="G4" fmla="+- 11796480 T2 T3"/>
            <a:gd name="G5" fmla="*/ G4 2 1"/>
            <a:gd name="T4" fmla="*/ 90 256 1"/>
            <a:gd name="T5" fmla="*/ 0 256 1"/>
            <a:gd name="G6" fmla="+- 11796480 T4 T5"/>
            <a:gd name="G7" fmla="*/ G6 2 1"/>
            <a:gd name="G8" fmla="abs 11796480"/>
            <a:gd name="T6" fmla="*/ 0 256 1"/>
            <a:gd name="T7" fmla="*/ 90 256 1"/>
            <a:gd name="G9" fmla="+- G8 T6 T7"/>
            <a:gd name="G10" fmla="?: G9 G7 G5"/>
            <a:gd name="T8" fmla="*/ 0 256 1"/>
            <a:gd name="T9" fmla="*/ 360 256 1"/>
            <a:gd name="G11" fmla="+- G10 T8 T9"/>
            <a:gd name="G12" fmla="?: G10 G11 G10"/>
            <a:gd name="T10" fmla="*/ 0 256 1"/>
            <a:gd name="T11" fmla="*/ 360 256 1"/>
            <a:gd name="G13" fmla="+- G12 T10 T11"/>
            <a:gd name="G14" fmla="?: G12 G13 G12"/>
            <a:gd name="G15" fmla="+- 0 0 G14"/>
            <a:gd name="G16" fmla="+- 10800 0 0"/>
            <a:gd name="G17" fmla="+- 10800 0 10800"/>
            <a:gd name="G18" fmla="*/ 10800 1 2"/>
            <a:gd name="G19" fmla="+- G18 5400 0"/>
            <a:gd name="G20" fmla="cos G19 11796480"/>
            <a:gd name="G21" fmla="sin G19 11796480"/>
            <a:gd name="G22" fmla="+- G20 10800 0"/>
            <a:gd name="G23" fmla="+- G21 10800 0"/>
            <a:gd name="G24" fmla="+- 10800 0 G20"/>
            <a:gd name="G25" fmla="+- 10800 10800 0"/>
            <a:gd name="G26" fmla="?: G9 G17 G25"/>
            <a:gd name="G27" fmla="?: G9 0 21600"/>
            <a:gd name="G28" fmla="cos 10800 11796480"/>
            <a:gd name="G29" fmla="sin 10800 11796480"/>
            <a:gd name="G30" fmla="sin 10800 11796480"/>
            <a:gd name="G31" fmla="+- G28 10800 0"/>
            <a:gd name="G32" fmla="+- G29 10800 0"/>
            <a:gd name="G33" fmla="+- G30 10800 0"/>
            <a:gd name="G34" fmla="?: G4 0 G31"/>
            <a:gd name="G35" fmla="?: 11796480 G34 0"/>
            <a:gd name="G36" fmla="?: G6 G35 G31"/>
            <a:gd name="G37" fmla="+- 21600 0 G36"/>
            <a:gd name="G38" fmla="?: G4 0 G33"/>
            <a:gd name="G39" fmla="?: 11796480 G38 G32"/>
            <a:gd name="G40" fmla="?: G6 G39 0"/>
            <a:gd name="G41" fmla="?: G4 G32 21600"/>
            <a:gd name="G42" fmla="?: G6 G41 G33"/>
            <a:gd name="T12" fmla="*/ 10800 w 21600"/>
            <a:gd name="T13" fmla="*/ 0 h 21600"/>
            <a:gd name="T14" fmla="*/ 0 w 21600"/>
            <a:gd name="T15" fmla="*/ 10800 h 21600"/>
            <a:gd name="T16" fmla="*/ 10800 w 21600"/>
            <a:gd name="T17" fmla="*/ 0 h 21600"/>
            <a:gd name="T18" fmla="*/ 21600 w 21600"/>
            <a:gd name="T19" fmla="*/ 10800 h 21600"/>
            <a:gd name="T20" fmla="*/ G36 w 21600"/>
            <a:gd name="T21" fmla="*/ G40 h 21600"/>
            <a:gd name="T22" fmla="*/ G37 w 21600"/>
            <a:gd name="T23" fmla="*/ G42 h 21600"/>
          </a:gdLst>
          <a:ahLst/>
          <a:cxnLst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</a:cxnLst>
          <a:rect l="T20" t="T21" r="T22" b="T23"/>
          <a:pathLst>
            <a:path w="21600" h="21600">
              <a:moveTo>
                <a:pt x="0" y="10800"/>
              </a:moveTo>
              <a:cubicBezTo>
                <a:pt x="0" y="4835"/>
                <a:pt x="4835" y="0"/>
                <a:pt x="10800" y="0"/>
              </a:cubicBezTo>
              <a:cubicBezTo>
                <a:pt x="16764" y="-1"/>
                <a:pt x="21599" y="4835"/>
                <a:pt x="21600" y="10799"/>
              </a:cubicBezTo>
              <a:lnTo>
                <a:pt x="21600" y="10800"/>
              </a:lnTo>
              <a:cubicBezTo>
                <a:pt x="21600" y="4835"/>
                <a:pt x="16764" y="0"/>
                <a:pt x="10800" y="0"/>
              </a:cubicBezTo>
              <a:cubicBezTo>
                <a:pt x="4835" y="0"/>
                <a:pt x="0" y="4835"/>
                <a:pt x="0" y="10800"/>
              </a:cubicBezTo>
              <a:close/>
            </a:path>
          </a:pathLst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133350</xdr:colOff>
      <xdr:row>10</xdr:row>
      <xdr:rowOff>190500</xdr:rowOff>
    </xdr:from>
    <xdr:to>
      <xdr:col>6</xdr:col>
      <xdr:colOff>219075</xdr:colOff>
      <xdr:row>11</xdr:row>
      <xdr:rowOff>57150</xdr:rowOff>
    </xdr:to>
    <xdr:sp macro="" textlink="">
      <xdr:nvSpPr>
        <xdr:cNvPr id="16821" name="Line 437"/>
        <xdr:cNvSpPr>
          <a:spLocks noChangeShapeType="1"/>
        </xdr:cNvSpPr>
      </xdr:nvSpPr>
      <xdr:spPr bwMode="auto">
        <a:xfrm flipV="1">
          <a:off x="3581400" y="2247900"/>
          <a:ext cx="85725" cy="762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200025</xdr:colOff>
      <xdr:row>8</xdr:row>
      <xdr:rowOff>142875</xdr:rowOff>
    </xdr:from>
    <xdr:to>
      <xdr:col>6</xdr:col>
      <xdr:colOff>257175</xdr:colOff>
      <xdr:row>9</xdr:row>
      <xdr:rowOff>38100</xdr:rowOff>
    </xdr:to>
    <xdr:sp macro="" textlink="">
      <xdr:nvSpPr>
        <xdr:cNvPr id="16822" name="Line 438"/>
        <xdr:cNvSpPr>
          <a:spLocks noChangeShapeType="1"/>
        </xdr:cNvSpPr>
      </xdr:nvSpPr>
      <xdr:spPr bwMode="auto">
        <a:xfrm>
          <a:off x="3648075" y="1828800"/>
          <a:ext cx="57150" cy="95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295275</xdr:colOff>
      <xdr:row>10</xdr:row>
      <xdr:rowOff>28575</xdr:rowOff>
    </xdr:from>
    <xdr:to>
      <xdr:col>7</xdr:col>
      <xdr:colOff>0</xdr:colOff>
      <xdr:row>10</xdr:row>
      <xdr:rowOff>123825</xdr:rowOff>
    </xdr:to>
    <xdr:sp macro="" textlink="">
      <xdr:nvSpPr>
        <xdr:cNvPr id="16823" name="Line 439"/>
        <xdr:cNvSpPr>
          <a:spLocks noChangeShapeType="1"/>
        </xdr:cNvSpPr>
      </xdr:nvSpPr>
      <xdr:spPr bwMode="auto">
        <a:xfrm flipH="1" flipV="1">
          <a:off x="3743325" y="2085975"/>
          <a:ext cx="466725" cy="95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oval" w="med" len="med"/>
          <a:tailEnd type="oval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123825</xdr:colOff>
      <xdr:row>6</xdr:row>
      <xdr:rowOff>200025</xdr:rowOff>
    </xdr:from>
    <xdr:to>
      <xdr:col>4</xdr:col>
      <xdr:colOff>133350</xdr:colOff>
      <xdr:row>8</xdr:row>
      <xdr:rowOff>142875</xdr:rowOff>
    </xdr:to>
    <xdr:sp macro="" textlink="">
      <xdr:nvSpPr>
        <xdr:cNvPr id="16824" name="Line 440"/>
        <xdr:cNvSpPr>
          <a:spLocks noChangeShapeType="1"/>
        </xdr:cNvSpPr>
      </xdr:nvSpPr>
      <xdr:spPr bwMode="auto">
        <a:xfrm flipH="1" flipV="1">
          <a:off x="2209800" y="1466850"/>
          <a:ext cx="9525" cy="36195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123825</xdr:colOff>
      <xdr:row>3</xdr:row>
      <xdr:rowOff>104775</xdr:rowOff>
    </xdr:from>
    <xdr:to>
      <xdr:col>4</xdr:col>
      <xdr:colOff>123825</xdr:colOff>
      <xdr:row>6</xdr:row>
      <xdr:rowOff>200025</xdr:rowOff>
    </xdr:to>
    <xdr:sp macro="" textlink="">
      <xdr:nvSpPr>
        <xdr:cNvPr id="16825" name="Line 441"/>
        <xdr:cNvSpPr>
          <a:spLocks noChangeShapeType="1"/>
        </xdr:cNvSpPr>
      </xdr:nvSpPr>
      <xdr:spPr bwMode="auto">
        <a:xfrm flipV="1">
          <a:off x="2209800" y="790575"/>
          <a:ext cx="0" cy="67627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723900</xdr:colOff>
      <xdr:row>3</xdr:row>
      <xdr:rowOff>114300</xdr:rowOff>
    </xdr:from>
    <xdr:to>
      <xdr:col>4</xdr:col>
      <xdr:colOff>114300</xdr:colOff>
      <xdr:row>3</xdr:row>
      <xdr:rowOff>114300</xdr:rowOff>
    </xdr:to>
    <xdr:sp macro="" textlink="">
      <xdr:nvSpPr>
        <xdr:cNvPr id="16827" name="Line 443"/>
        <xdr:cNvSpPr>
          <a:spLocks noChangeShapeType="1"/>
        </xdr:cNvSpPr>
      </xdr:nvSpPr>
      <xdr:spPr bwMode="auto">
        <a:xfrm>
          <a:off x="1295400" y="800100"/>
          <a:ext cx="90487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27</xdr:row>
      <xdr:rowOff>38100</xdr:rowOff>
    </xdr:from>
    <xdr:to>
      <xdr:col>10</xdr:col>
      <xdr:colOff>628650</xdr:colOff>
      <xdr:row>27</xdr:row>
      <xdr:rowOff>38100</xdr:rowOff>
    </xdr:to>
    <xdr:sp macro="" textlink="">
      <xdr:nvSpPr>
        <xdr:cNvPr id="16828" name="Line 444"/>
        <xdr:cNvSpPr>
          <a:spLocks noChangeShapeType="1"/>
        </xdr:cNvSpPr>
      </xdr:nvSpPr>
      <xdr:spPr bwMode="auto">
        <a:xfrm flipV="1">
          <a:off x="5981700" y="5448300"/>
          <a:ext cx="84772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438150</xdr:colOff>
      <xdr:row>25</xdr:row>
      <xdr:rowOff>9525</xdr:rowOff>
    </xdr:from>
    <xdr:to>
      <xdr:col>10</xdr:col>
      <xdr:colOff>438150</xdr:colOff>
      <xdr:row>27</xdr:row>
      <xdr:rowOff>38100</xdr:rowOff>
    </xdr:to>
    <xdr:sp macro="" textlink="">
      <xdr:nvSpPr>
        <xdr:cNvPr id="16829" name="Line 445"/>
        <xdr:cNvSpPr>
          <a:spLocks noChangeShapeType="1"/>
        </xdr:cNvSpPr>
      </xdr:nvSpPr>
      <xdr:spPr bwMode="auto">
        <a:xfrm flipV="1">
          <a:off x="6638925" y="5095875"/>
          <a:ext cx="0" cy="3524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438150</xdr:colOff>
      <xdr:row>22</xdr:row>
      <xdr:rowOff>104775</xdr:rowOff>
    </xdr:from>
    <xdr:to>
      <xdr:col>10</xdr:col>
      <xdr:colOff>438150</xdr:colOff>
      <xdr:row>25</xdr:row>
      <xdr:rowOff>19050</xdr:rowOff>
    </xdr:to>
    <xdr:sp macro="" textlink="">
      <xdr:nvSpPr>
        <xdr:cNvPr id="16830" name="Line 446"/>
        <xdr:cNvSpPr>
          <a:spLocks noChangeShapeType="1"/>
        </xdr:cNvSpPr>
      </xdr:nvSpPr>
      <xdr:spPr bwMode="auto">
        <a:xfrm flipV="1">
          <a:off x="6638925" y="4657725"/>
          <a:ext cx="0" cy="44767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428625</xdr:colOff>
      <xdr:row>22</xdr:row>
      <xdr:rowOff>95250</xdr:rowOff>
    </xdr:from>
    <xdr:to>
      <xdr:col>10</xdr:col>
      <xdr:colOff>704850</xdr:colOff>
      <xdr:row>22</xdr:row>
      <xdr:rowOff>95250</xdr:rowOff>
    </xdr:to>
    <xdr:sp macro="" textlink="">
      <xdr:nvSpPr>
        <xdr:cNvPr id="16831" name="Line 447"/>
        <xdr:cNvSpPr>
          <a:spLocks noChangeShapeType="1"/>
        </xdr:cNvSpPr>
      </xdr:nvSpPr>
      <xdr:spPr bwMode="auto">
        <a:xfrm>
          <a:off x="6629400" y="4648200"/>
          <a:ext cx="27622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523875</xdr:colOff>
      <xdr:row>38</xdr:row>
      <xdr:rowOff>57150</xdr:rowOff>
    </xdr:from>
    <xdr:to>
      <xdr:col>5</xdr:col>
      <xdr:colOff>28575</xdr:colOff>
      <xdr:row>39</xdr:row>
      <xdr:rowOff>0</xdr:rowOff>
    </xdr:to>
    <xdr:sp macro="" textlink="">
      <xdr:nvSpPr>
        <xdr:cNvPr id="16832" name="Oval 448"/>
        <xdr:cNvSpPr>
          <a:spLocks noChangeArrowheads="1"/>
        </xdr:cNvSpPr>
      </xdr:nvSpPr>
      <xdr:spPr bwMode="auto">
        <a:xfrm>
          <a:off x="2609850" y="7591425"/>
          <a:ext cx="123825" cy="1143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</xdr:spPr>
    </xdr:sp>
    <xdr:clientData/>
  </xdr:twoCellAnchor>
  <xdr:twoCellAnchor>
    <xdr:from>
      <xdr:col>9</xdr:col>
      <xdr:colOff>342900</xdr:colOff>
      <xdr:row>59</xdr:row>
      <xdr:rowOff>9525</xdr:rowOff>
    </xdr:from>
    <xdr:to>
      <xdr:col>9</xdr:col>
      <xdr:colOff>457200</xdr:colOff>
      <xdr:row>59</xdr:row>
      <xdr:rowOff>123825</xdr:rowOff>
    </xdr:to>
    <xdr:sp macro="" textlink="">
      <xdr:nvSpPr>
        <xdr:cNvPr id="16833" name="Oval 449"/>
        <xdr:cNvSpPr>
          <a:spLocks noChangeArrowheads="1"/>
        </xdr:cNvSpPr>
      </xdr:nvSpPr>
      <xdr:spPr bwMode="auto">
        <a:xfrm>
          <a:off x="5934075" y="11563350"/>
          <a:ext cx="114300" cy="1143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</xdr:spPr>
    </xdr:sp>
    <xdr:clientData/>
  </xdr:twoCellAnchor>
  <xdr:twoCellAnchor>
    <xdr:from>
      <xdr:col>4</xdr:col>
      <xdr:colOff>552450</xdr:colOff>
      <xdr:row>6</xdr:row>
      <xdr:rowOff>123825</xdr:rowOff>
    </xdr:from>
    <xdr:to>
      <xdr:col>5</xdr:col>
      <xdr:colOff>57150</xdr:colOff>
      <xdr:row>7</xdr:row>
      <xdr:rowOff>28575</xdr:rowOff>
    </xdr:to>
    <xdr:sp macro="" textlink="">
      <xdr:nvSpPr>
        <xdr:cNvPr id="16834" name="Oval 450"/>
        <xdr:cNvSpPr>
          <a:spLocks noChangeArrowheads="1"/>
        </xdr:cNvSpPr>
      </xdr:nvSpPr>
      <xdr:spPr bwMode="auto">
        <a:xfrm>
          <a:off x="2638425" y="1390650"/>
          <a:ext cx="123825" cy="1143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</xdr:spPr>
    </xdr:sp>
    <xdr:clientData/>
  </xdr:twoCellAnchor>
  <xdr:twoCellAnchor>
    <xdr:from>
      <xdr:col>9</xdr:col>
      <xdr:colOff>371475</xdr:colOff>
      <xdr:row>26</xdr:row>
      <xdr:rowOff>133350</xdr:rowOff>
    </xdr:from>
    <xdr:to>
      <xdr:col>9</xdr:col>
      <xdr:colOff>485775</xdr:colOff>
      <xdr:row>27</xdr:row>
      <xdr:rowOff>85725</xdr:rowOff>
    </xdr:to>
    <xdr:sp macro="" textlink="">
      <xdr:nvSpPr>
        <xdr:cNvPr id="16835" name="Oval 451"/>
        <xdr:cNvSpPr>
          <a:spLocks noChangeArrowheads="1"/>
        </xdr:cNvSpPr>
      </xdr:nvSpPr>
      <xdr:spPr bwMode="auto">
        <a:xfrm>
          <a:off x="5962650" y="5381625"/>
          <a:ext cx="114300" cy="1143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</xdr:spPr>
    </xdr:sp>
    <xdr:clientData/>
  </xdr:twoCellAnchor>
  <xdr:oneCellAnchor>
    <xdr:from>
      <xdr:col>8</xdr:col>
      <xdr:colOff>0</xdr:colOff>
      <xdr:row>42</xdr:row>
      <xdr:rowOff>28575</xdr:rowOff>
    </xdr:from>
    <xdr:ext cx="428625" cy="215900"/>
    <xdr:sp macro="" textlink="">
      <xdr:nvSpPr>
        <xdr:cNvPr id="16838" name="Text Box 454"/>
        <xdr:cNvSpPr txBox="1">
          <a:spLocks noChangeArrowheads="1"/>
        </xdr:cNvSpPr>
      </xdr:nvSpPr>
      <xdr:spPr bwMode="auto">
        <a:xfrm>
          <a:off x="4867275" y="8315325"/>
          <a:ext cx="4286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Deg</a:t>
          </a: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</a:p>
      </xdr:txBody>
    </xdr:sp>
    <xdr:clientData/>
  </xdr:oneCellAnchor>
  <xdr:twoCellAnchor>
    <xdr:from>
      <xdr:col>6</xdr:col>
      <xdr:colOff>9525</xdr:colOff>
      <xdr:row>40</xdr:row>
      <xdr:rowOff>142875</xdr:rowOff>
    </xdr:from>
    <xdr:to>
      <xdr:col>6</xdr:col>
      <xdr:colOff>247650</xdr:colOff>
      <xdr:row>43</xdr:row>
      <xdr:rowOff>47625</xdr:rowOff>
    </xdr:to>
    <xdr:sp macro="" textlink="">
      <xdr:nvSpPr>
        <xdr:cNvPr id="16839" name="AutoShape 455"/>
        <xdr:cNvSpPr>
          <a:spLocks noChangeArrowheads="1"/>
        </xdr:cNvSpPr>
      </xdr:nvSpPr>
      <xdr:spPr bwMode="auto">
        <a:xfrm rot="5724712">
          <a:off x="3333750" y="8181975"/>
          <a:ext cx="485775" cy="238125"/>
        </a:xfrm>
        <a:custGeom>
          <a:avLst/>
          <a:gdLst>
            <a:gd name="G0" fmla="+- 10800 0 0"/>
            <a:gd name="G1" fmla="+- 11796480 0 0"/>
            <a:gd name="G2" fmla="+- 0 0 11796480"/>
            <a:gd name="T0" fmla="*/ 0 256 1"/>
            <a:gd name="T1" fmla="*/ 180 256 1"/>
            <a:gd name="G3" fmla="+- 11796480 T0 T1"/>
            <a:gd name="T2" fmla="*/ 0 256 1"/>
            <a:gd name="T3" fmla="*/ 90 256 1"/>
            <a:gd name="G4" fmla="+- 11796480 T2 T3"/>
            <a:gd name="G5" fmla="*/ G4 2 1"/>
            <a:gd name="T4" fmla="*/ 90 256 1"/>
            <a:gd name="T5" fmla="*/ 0 256 1"/>
            <a:gd name="G6" fmla="+- 11796480 T4 T5"/>
            <a:gd name="G7" fmla="*/ G6 2 1"/>
            <a:gd name="G8" fmla="abs 11796480"/>
            <a:gd name="T6" fmla="*/ 0 256 1"/>
            <a:gd name="T7" fmla="*/ 90 256 1"/>
            <a:gd name="G9" fmla="+- G8 T6 T7"/>
            <a:gd name="G10" fmla="?: G9 G7 G5"/>
            <a:gd name="T8" fmla="*/ 0 256 1"/>
            <a:gd name="T9" fmla="*/ 360 256 1"/>
            <a:gd name="G11" fmla="+- G10 T8 T9"/>
            <a:gd name="G12" fmla="?: G10 G11 G10"/>
            <a:gd name="T10" fmla="*/ 0 256 1"/>
            <a:gd name="T11" fmla="*/ 360 256 1"/>
            <a:gd name="G13" fmla="+- G12 T10 T11"/>
            <a:gd name="G14" fmla="?: G12 G13 G12"/>
            <a:gd name="G15" fmla="+- 0 0 G14"/>
            <a:gd name="G16" fmla="+- 10800 0 0"/>
            <a:gd name="G17" fmla="+- 10800 0 10800"/>
            <a:gd name="G18" fmla="*/ 10800 1 2"/>
            <a:gd name="G19" fmla="+- G18 5400 0"/>
            <a:gd name="G20" fmla="cos G19 11796480"/>
            <a:gd name="G21" fmla="sin G19 11796480"/>
            <a:gd name="G22" fmla="+- G20 10800 0"/>
            <a:gd name="G23" fmla="+- G21 10800 0"/>
            <a:gd name="G24" fmla="+- 10800 0 G20"/>
            <a:gd name="G25" fmla="+- 10800 10800 0"/>
            <a:gd name="G26" fmla="?: G9 G17 G25"/>
            <a:gd name="G27" fmla="?: G9 0 21600"/>
            <a:gd name="G28" fmla="cos 10800 11796480"/>
            <a:gd name="G29" fmla="sin 10800 11796480"/>
            <a:gd name="G30" fmla="sin 10800 11796480"/>
            <a:gd name="G31" fmla="+- G28 10800 0"/>
            <a:gd name="G32" fmla="+- G29 10800 0"/>
            <a:gd name="G33" fmla="+- G30 10800 0"/>
            <a:gd name="G34" fmla="?: G4 0 G31"/>
            <a:gd name="G35" fmla="?: 11796480 G34 0"/>
            <a:gd name="G36" fmla="?: G6 G35 G31"/>
            <a:gd name="G37" fmla="+- 21600 0 G36"/>
            <a:gd name="G38" fmla="?: G4 0 G33"/>
            <a:gd name="G39" fmla="?: 11796480 G38 G32"/>
            <a:gd name="G40" fmla="?: G6 G39 0"/>
            <a:gd name="G41" fmla="?: G4 G32 21600"/>
            <a:gd name="G42" fmla="?: G6 G41 G33"/>
            <a:gd name="T12" fmla="*/ 10800 w 21600"/>
            <a:gd name="T13" fmla="*/ 0 h 21600"/>
            <a:gd name="T14" fmla="*/ 0 w 21600"/>
            <a:gd name="T15" fmla="*/ 10800 h 21600"/>
            <a:gd name="T16" fmla="*/ 10800 w 21600"/>
            <a:gd name="T17" fmla="*/ 0 h 21600"/>
            <a:gd name="T18" fmla="*/ 21600 w 21600"/>
            <a:gd name="T19" fmla="*/ 10800 h 21600"/>
            <a:gd name="T20" fmla="*/ G36 w 21600"/>
            <a:gd name="T21" fmla="*/ G40 h 21600"/>
            <a:gd name="T22" fmla="*/ G37 w 21600"/>
            <a:gd name="T23" fmla="*/ G42 h 21600"/>
          </a:gdLst>
          <a:ahLst/>
          <a:cxnLst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</a:cxnLst>
          <a:rect l="T20" t="T21" r="T22" b="T23"/>
          <a:pathLst>
            <a:path w="21600" h="21600">
              <a:moveTo>
                <a:pt x="0" y="10800"/>
              </a:moveTo>
              <a:cubicBezTo>
                <a:pt x="0" y="4835"/>
                <a:pt x="4835" y="0"/>
                <a:pt x="10800" y="0"/>
              </a:cubicBezTo>
              <a:cubicBezTo>
                <a:pt x="16764" y="-1"/>
                <a:pt x="21599" y="4835"/>
                <a:pt x="21600" y="10799"/>
              </a:cubicBezTo>
              <a:lnTo>
                <a:pt x="21600" y="10800"/>
              </a:lnTo>
              <a:cubicBezTo>
                <a:pt x="21600" y="4835"/>
                <a:pt x="16764" y="0"/>
                <a:pt x="10800" y="0"/>
              </a:cubicBezTo>
              <a:cubicBezTo>
                <a:pt x="4835" y="0"/>
                <a:pt x="0" y="4835"/>
                <a:pt x="0" y="10800"/>
              </a:cubicBezTo>
              <a:close/>
            </a:path>
          </a:pathLst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123825</xdr:colOff>
      <xdr:row>42</xdr:row>
      <xdr:rowOff>133350</xdr:rowOff>
    </xdr:from>
    <xdr:to>
      <xdr:col>6</xdr:col>
      <xdr:colOff>219075</xdr:colOff>
      <xdr:row>43</xdr:row>
      <xdr:rowOff>57150</xdr:rowOff>
    </xdr:to>
    <xdr:sp macro="" textlink="">
      <xdr:nvSpPr>
        <xdr:cNvPr id="16840" name="Line 456"/>
        <xdr:cNvSpPr>
          <a:spLocks noChangeShapeType="1"/>
        </xdr:cNvSpPr>
      </xdr:nvSpPr>
      <xdr:spPr bwMode="auto">
        <a:xfrm flipV="1">
          <a:off x="3571875" y="8420100"/>
          <a:ext cx="95250" cy="13335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161925</xdr:colOff>
      <xdr:row>40</xdr:row>
      <xdr:rowOff>133350</xdr:rowOff>
    </xdr:from>
    <xdr:to>
      <xdr:col>6</xdr:col>
      <xdr:colOff>247650</xdr:colOff>
      <xdr:row>41</xdr:row>
      <xdr:rowOff>47625</xdr:rowOff>
    </xdr:to>
    <xdr:sp macro="" textlink="">
      <xdr:nvSpPr>
        <xdr:cNvPr id="16841" name="Line 457"/>
        <xdr:cNvSpPr>
          <a:spLocks noChangeShapeType="1"/>
        </xdr:cNvSpPr>
      </xdr:nvSpPr>
      <xdr:spPr bwMode="auto">
        <a:xfrm>
          <a:off x="3609975" y="8048625"/>
          <a:ext cx="85725" cy="11430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257175</xdr:colOff>
      <xdr:row>42</xdr:row>
      <xdr:rowOff>19050</xdr:rowOff>
    </xdr:from>
    <xdr:to>
      <xdr:col>7</xdr:col>
      <xdr:colOff>0</xdr:colOff>
      <xdr:row>42</xdr:row>
      <xdr:rowOff>114300</xdr:rowOff>
    </xdr:to>
    <xdr:sp macro="" textlink="">
      <xdr:nvSpPr>
        <xdr:cNvPr id="16842" name="Line 458"/>
        <xdr:cNvSpPr>
          <a:spLocks noChangeShapeType="1"/>
        </xdr:cNvSpPr>
      </xdr:nvSpPr>
      <xdr:spPr bwMode="auto">
        <a:xfrm>
          <a:off x="3705225" y="8305800"/>
          <a:ext cx="504825" cy="95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oval" w="med" len="med"/>
          <a:tailEnd type="oval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38100</xdr:colOff>
      <xdr:row>72</xdr:row>
      <xdr:rowOff>142875</xdr:rowOff>
    </xdr:from>
    <xdr:to>
      <xdr:col>6</xdr:col>
      <xdr:colOff>276225</xdr:colOff>
      <xdr:row>75</xdr:row>
      <xdr:rowOff>57150</xdr:rowOff>
    </xdr:to>
    <xdr:sp macro="" textlink="">
      <xdr:nvSpPr>
        <xdr:cNvPr id="16843" name="AutoShape 459"/>
        <xdr:cNvSpPr>
          <a:spLocks noChangeArrowheads="1"/>
        </xdr:cNvSpPr>
      </xdr:nvSpPr>
      <xdr:spPr bwMode="auto">
        <a:xfrm rot="5724712">
          <a:off x="3357563" y="14387512"/>
          <a:ext cx="495300" cy="238125"/>
        </a:xfrm>
        <a:custGeom>
          <a:avLst/>
          <a:gdLst>
            <a:gd name="G0" fmla="+- 10800 0 0"/>
            <a:gd name="G1" fmla="+- 11796480 0 0"/>
            <a:gd name="G2" fmla="+- 0 0 11796480"/>
            <a:gd name="T0" fmla="*/ 0 256 1"/>
            <a:gd name="T1" fmla="*/ 180 256 1"/>
            <a:gd name="G3" fmla="+- 11796480 T0 T1"/>
            <a:gd name="T2" fmla="*/ 0 256 1"/>
            <a:gd name="T3" fmla="*/ 90 256 1"/>
            <a:gd name="G4" fmla="+- 11796480 T2 T3"/>
            <a:gd name="G5" fmla="*/ G4 2 1"/>
            <a:gd name="T4" fmla="*/ 90 256 1"/>
            <a:gd name="T5" fmla="*/ 0 256 1"/>
            <a:gd name="G6" fmla="+- 11796480 T4 T5"/>
            <a:gd name="G7" fmla="*/ G6 2 1"/>
            <a:gd name="G8" fmla="abs 11796480"/>
            <a:gd name="T6" fmla="*/ 0 256 1"/>
            <a:gd name="T7" fmla="*/ 90 256 1"/>
            <a:gd name="G9" fmla="+- G8 T6 T7"/>
            <a:gd name="G10" fmla="?: G9 G7 G5"/>
            <a:gd name="T8" fmla="*/ 0 256 1"/>
            <a:gd name="T9" fmla="*/ 360 256 1"/>
            <a:gd name="G11" fmla="+- G10 T8 T9"/>
            <a:gd name="G12" fmla="?: G10 G11 G10"/>
            <a:gd name="T10" fmla="*/ 0 256 1"/>
            <a:gd name="T11" fmla="*/ 360 256 1"/>
            <a:gd name="G13" fmla="+- G12 T10 T11"/>
            <a:gd name="G14" fmla="?: G12 G13 G12"/>
            <a:gd name="G15" fmla="+- 0 0 G14"/>
            <a:gd name="G16" fmla="+- 10800 0 0"/>
            <a:gd name="G17" fmla="+- 10800 0 10800"/>
            <a:gd name="G18" fmla="*/ 10800 1 2"/>
            <a:gd name="G19" fmla="+- G18 5400 0"/>
            <a:gd name="G20" fmla="cos G19 11796480"/>
            <a:gd name="G21" fmla="sin G19 11796480"/>
            <a:gd name="G22" fmla="+- G20 10800 0"/>
            <a:gd name="G23" fmla="+- G21 10800 0"/>
            <a:gd name="G24" fmla="+- 10800 0 G20"/>
            <a:gd name="G25" fmla="+- 10800 10800 0"/>
            <a:gd name="G26" fmla="?: G9 G17 G25"/>
            <a:gd name="G27" fmla="?: G9 0 21600"/>
            <a:gd name="G28" fmla="cos 10800 11796480"/>
            <a:gd name="G29" fmla="sin 10800 11796480"/>
            <a:gd name="G30" fmla="sin 10800 11796480"/>
            <a:gd name="G31" fmla="+- G28 10800 0"/>
            <a:gd name="G32" fmla="+- G29 10800 0"/>
            <a:gd name="G33" fmla="+- G30 10800 0"/>
            <a:gd name="G34" fmla="?: G4 0 G31"/>
            <a:gd name="G35" fmla="?: 11796480 G34 0"/>
            <a:gd name="G36" fmla="?: G6 G35 G31"/>
            <a:gd name="G37" fmla="+- 21600 0 G36"/>
            <a:gd name="G38" fmla="?: G4 0 G33"/>
            <a:gd name="G39" fmla="?: 11796480 G38 G32"/>
            <a:gd name="G40" fmla="?: G6 G39 0"/>
            <a:gd name="G41" fmla="?: G4 G32 21600"/>
            <a:gd name="G42" fmla="?: G6 G41 G33"/>
            <a:gd name="T12" fmla="*/ 10800 w 21600"/>
            <a:gd name="T13" fmla="*/ 0 h 21600"/>
            <a:gd name="T14" fmla="*/ 0 w 21600"/>
            <a:gd name="T15" fmla="*/ 10800 h 21600"/>
            <a:gd name="T16" fmla="*/ 10800 w 21600"/>
            <a:gd name="T17" fmla="*/ 0 h 21600"/>
            <a:gd name="T18" fmla="*/ 21600 w 21600"/>
            <a:gd name="T19" fmla="*/ 10800 h 21600"/>
            <a:gd name="T20" fmla="*/ G36 w 21600"/>
            <a:gd name="T21" fmla="*/ G40 h 21600"/>
            <a:gd name="T22" fmla="*/ G37 w 21600"/>
            <a:gd name="T23" fmla="*/ G42 h 21600"/>
          </a:gdLst>
          <a:ahLst/>
          <a:cxnLst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</a:cxnLst>
          <a:rect l="T20" t="T21" r="T22" b="T23"/>
          <a:pathLst>
            <a:path w="21600" h="21600">
              <a:moveTo>
                <a:pt x="0" y="10800"/>
              </a:moveTo>
              <a:cubicBezTo>
                <a:pt x="0" y="4835"/>
                <a:pt x="4835" y="0"/>
                <a:pt x="10800" y="0"/>
              </a:cubicBezTo>
              <a:cubicBezTo>
                <a:pt x="16764" y="-1"/>
                <a:pt x="21599" y="4835"/>
                <a:pt x="21600" y="10799"/>
              </a:cubicBezTo>
              <a:lnTo>
                <a:pt x="21600" y="10800"/>
              </a:lnTo>
              <a:cubicBezTo>
                <a:pt x="21600" y="4835"/>
                <a:pt x="16764" y="0"/>
                <a:pt x="10800" y="0"/>
              </a:cubicBezTo>
              <a:cubicBezTo>
                <a:pt x="4835" y="0"/>
                <a:pt x="0" y="4835"/>
                <a:pt x="0" y="10800"/>
              </a:cubicBezTo>
              <a:close/>
            </a:path>
          </a:pathLst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142875</xdr:colOff>
      <xdr:row>74</xdr:row>
      <xdr:rowOff>161925</xdr:rowOff>
    </xdr:from>
    <xdr:to>
      <xdr:col>6</xdr:col>
      <xdr:colOff>238125</xdr:colOff>
      <xdr:row>75</xdr:row>
      <xdr:rowOff>76200</xdr:rowOff>
    </xdr:to>
    <xdr:sp macro="" textlink="">
      <xdr:nvSpPr>
        <xdr:cNvPr id="16844" name="Line 460"/>
        <xdr:cNvSpPr>
          <a:spLocks noChangeShapeType="1"/>
        </xdr:cNvSpPr>
      </xdr:nvSpPr>
      <xdr:spPr bwMode="auto">
        <a:xfrm flipV="1">
          <a:off x="3590925" y="14649450"/>
          <a:ext cx="95250" cy="1238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190500</xdr:colOff>
      <xdr:row>72</xdr:row>
      <xdr:rowOff>133350</xdr:rowOff>
    </xdr:from>
    <xdr:to>
      <xdr:col>6</xdr:col>
      <xdr:colOff>266700</xdr:colOff>
      <xdr:row>73</xdr:row>
      <xdr:rowOff>57150</xdr:rowOff>
    </xdr:to>
    <xdr:sp macro="" textlink="">
      <xdr:nvSpPr>
        <xdr:cNvPr id="16845" name="Line 461"/>
        <xdr:cNvSpPr>
          <a:spLocks noChangeShapeType="1"/>
        </xdr:cNvSpPr>
      </xdr:nvSpPr>
      <xdr:spPr bwMode="auto">
        <a:xfrm>
          <a:off x="3638550" y="14249400"/>
          <a:ext cx="76200" cy="1238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8</xdr:col>
      <xdr:colOff>0</xdr:colOff>
      <xdr:row>74</xdr:row>
      <xdr:rowOff>28575</xdr:rowOff>
    </xdr:from>
    <xdr:ext cx="428625" cy="215900"/>
    <xdr:sp macro="" textlink="">
      <xdr:nvSpPr>
        <xdr:cNvPr id="16846" name="Text Box 462"/>
        <xdr:cNvSpPr txBox="1">
          <a:spLocks noChangeArrowheads="1"/>
        </xdr:cNvSpPr>
      </xdr:nvSpPr>
      <xdr:spPr bwMode="auto">
        <a:xfrm>
          <a:off x="4867275" y="14516100"/>
          <a:ext cx="4286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Deg</a:t>
          </a: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</a:p>
      </xdr:txBody>
    </xdr:sp>
    <xdr:clientData/>
  </xdr:oneCellAnchor>
  <xdr:twoCellAnchor>
    <xdr:from>
      <xdr:col>6</xdr:col>
      <xdr:colOff>285750</xdr:colOff>
      <xdr:row>74</xdr:row>
      <xdr:rowOff>38100</xdr:rowOff>
    </xdr:from>
    <xdr:to>
      <xdr:col>6</xdr:col>
      <xdr:colOff>752475</xdr:colOff>
      <xdr:row>74</xdr:row>
      <xdr:rowOff>95250</xdr:rowOff>
    </xdr:to>
    <xdr:sp macro="" textlink="">
      <xdr:nvSpPr>
        <xdr:cNvPr id="16847" name="Line 463"/>
        <xdr:cNvSpPr>
          <a:spLocks noChangeShapeType="1"/>
        </xdr:cNvSpPr>
      </xdr:nvSpPr>
      <xdr:spPr bwMode="auto">
        <a:xfrm flipH="1" flipV="1">
          <a:off x="3733800" y="14525625"/>
          <a:ext cx="466725" cy="571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oval" w="med" len="med"/>
          <a:tailEnd type="oval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85725</xdr:colOff>
      <xdr:row>105</xdr:row>
      <xdr:rowOff>152400</xdr:rowOff>
    </xdr:from>
    <xdr:to>
      <xdr:col>6</xdr:col>
      <xdr:colOff>247650</xdr:colOff>
      <xdr:row>108</xdr:row>
      <xdr:rowOff>85725</xdr:rowOff>
    </xdr:to>
    <xdr:sp macro="" textlink="">
      <xdr:nvSpPr>
        <xdr:cNvPr id="16848" name="AutoShape 464"/>
        <xdr:cNvSpPr>
          <a:spLocks noChangeArrowheads="1"/>
        </xdr:cNvSpPr>
      </xdr:nvSpPr>
      <xdr:spPr bwMode="auto">
        <a:xfrm rot="5724712">
          <a:off x="3357563" y="20778787"/>
          <a:ext cx="514350" cy="161925"/>
        </a:xfrm>
        <a:custGeom>
          <a:avLst/>
          <a:gdLst>
            <a:gd name="G0" fmla="+- 10800 0 0"/>
            <a:gd name="G1" fmla="+- 11796480 0 0"/>
            <a:gd name="G2" fmla="+- 0 0 11796480"/>
            <a:gd name="T0" fmla="*/ 0 256 1"/>
            <a:gd name="T1" fmla="*/ 180 256 1"/>
            <a:gd name="G3" fmla="+- 11796480 T0 T1"/>
            <a:gd name="T2" fmla="*/ 0 256 1"/>
            <a:gd name="T3" fmla="*/ 90 256 1"/>
            <a:gd name="G4" fmla="+- 11796480 T2 T3"/>
            <a:gd name="G5" fmla="*/ G4 2 1"/>
            <a:gd name="T4" fmla="*/ 90 256 1"/>
            <a:gd name="T5" fmla="*/ 0 256 1"/>
            <a:gd name="G6" fmla="+- 11796480 T4 T5"/>
            <a:gd name="G7" fmla="*/ G6 2 1"/>
            <a:gd name="G8" fmla="abs 11796480"/>
            <a:gd name="T6" fmla="*/ 0 256 1"/>
            <a:gd name="T7" fmla="*/ 90 256 1"/>
            <a:gd name="G9" fmla="+- G8 T6 T7"/>
            <a:gd name="G10" fmla="?: G9 G7 G5"/>
            <a:gd name="T8" fmla="*/ 0 256 1"/>
            <a:gd name="T9" fmla="*/ 360 256 1"/>
            <a:gd name="G11" fmla="+- G10 T8 T9"/>
            <a:gd name="G12" fmla="?: G10 G11 G10"/>
            <a:gd name="T10" fmla="*/ 0 256 1"/>
            <a:gd name="T11" fmla="*/ 360 256 1"/>
            <a:gd name="G13" fmla="+- G12 T10 T11"/>
            <a:gd name="G14" fmla="?: G12 G13 G12"/>
            <a:gd name="G15" fmla="+- 0 0 G14"/>
            <a:gd name="G16" fmla="+- 10800 0 0"/>
            <a:gd name="G17" fmla="+- 10800 0 10800"/>
            <a:gd name="G18" fmla="*/ 10800 1 2"/>
            <a:gd name="G19" fmla="+- G18 5400 0"/>
            <a:gd name="G20" fmla="cos G19 11796480"/>
            <a:gd name="G21" fmla="sin G19 11796480"/>
            <a:gd name="G22" fmla="+- G20 10800 0"/>
            <a:gd name="G23" fmla="+- G21 10800 0"/>
            <a:gd name="G24" fmla="+- 10800 0 G20"/>
            <a:gd name="G25" fmla="+- 10800 10800 0"/>
            <a:gd name="G26" fmla="?: G9 G17 G25"/>
            <a:gd name="G27" fmla="?: G9 0 21600"/>
            <a:gd name="G28" fmla="cos 10800 11796480"/>
            <a:gd name="G29" fmla="sin 10800 11796480"/>
            <a:gd name="G30" fmla="sin 10800 11796480"/>
            <a:gd name="G31" fmla="+- G28 10800 0"/>
            <a:gd name="G32" fmla="+- G29 10800 0"/>
            <a:gd name="G33" fmla="+- G30 10800 0"/>
            <a:gd name="G34" fmla="?: G4 0 G31"/>
            <a:gd name="G35" fmla="?: 11796480 G34 0"/>
            <a:gd name="G36" fmla="?: G6 G35 G31"/>
            <a:gd name="G37" fmla="+- 21600 0 G36"/>
            <a:gd name="G38" fmla="?: G4 0 G33"/>
            <a:gd name="G39" fmla="?: 11796480 G38 G32"/>
            <a:gd name="G40" fmla="?: G6 G39 0"/>
            <a:gd name="G41" fmla="?: G4 G32 21600"/>
            <a:gd name="G42" fmla="?: G6 G41 G33"/>
            <a:gd name="T12" fmla="*/ 10800 w 21600"/>
            <a:gd name="T13" fmla="*/ 0 h 21600"/>
            <a:gd name="T14" fmla="*/ 0 w 21600"/>
            <a:gd name="T15" fmla="*/ 10800 h 21600"/>
            <a:gd name="T16" fmla="*/ 10800 w 21600"/>
            <a:gd name="T17" fmla="*/ 0 h 21600"/>
            <a:gd name="T18" fmla="*/ 21600 w 21600"/>
            <a:gd name="T19" fmla="*/ 10800 h 21600"/>
            <a:gd name="T20" fmla="*/ G36 w 21600"/>
            <a:gd name="T21" fmla="*/ G40 h 21600"/>
            <a:gd name="T22" fmla="*/ G37 w 21600"/>
            <a:gd name="T23" fmla="*/ G42 h 21600"/>
          </a:gdLst>
          <a:ahLst/>
          <a:cxnLst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</a:cxnLst>
          <a:rect l="T20" t="T21" r="T22" b="T23"/>
          <a:pathLst>
            <a:path w="21600" h="21600">
              <a:moveTo>
                <a:pt x="0" y="10800"/>
              </a:moveTo>
              <a:cubicBezTo>
                <a:pt x="0" y="4835"/>
                <a:pt x="4835" y="0"/>
                <a:pt x="10800" y="0"/>
              </a:cubicBezTo>
              <a:cubicBezTo>
                <a:pt x="16764" y="-1"/>
                <a:pt x="21599" y="4835"/>
                <a:pt x="21600" y="10799"/>
              </a:cubicBezTo>
              <a:lnTo>
                <a:pt x="21600" y="10800"/>
              </a:lnTo>
              <a:cubicBezTo>
                <a:pt x="21600" y="4835"/>
                <a:pt x="16764" y="0"/>
                <a:pt x="10800" y="0"/>
              </a:cubicBezTo>
              <a:cubicBezTo>
                <a:pt x="4835" y="0"/>
                <a:pt x="0" y="4835"/>
                <a:pt x="0" y="10800"/>
              </a:cubicBezTo>
              <a:close/>
            </a:path>
          </a:pathLst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161925</xdr:colOff>
      <xdr:row>107</xdr:row>
      <xdr:rowOff>104775</xdr:rowOff>
    </xdr:from>
    <xdr:to>
      <xdr:col>6</xdr:col>
      <xdr:colOff>238125</xdr:colOff>
      <xdr:row>108</xdr:row>
      <xdr:rowOff>95250</xdr:rowOff>
    </xdr:to>
    <xdr:sp macro="" textlink="">
      <xdr:nvSpPr>
        <xdr:cNvPr id="16849" name="Line 465"/>
        <xdr:cNvSpPr>
          <a:spLocks noChangeShapeType="1"/>
        </xdr:cNvSpPr>
      </xdr:nvSpPr>
      <xdr:spPr bwMode="auto">
        <a:xfrm flipV="1">
          <a:off x="3609975" y="20926425"/>
          <a:ext cx="76200" cy="2000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209550</xdr:colOff>
      <xdr:row>105</xdr:row>
      <xdr:rowOff>152400</xdr:rowOff>
    </xdr:from>
    <xdr:to>
      <xdr:col>6</xdr:col>
      <xdr:colOff>247650</xdr:colOff>
      <xdr:row>106</xdr:row>
      <xdr:rowOff>104775</xdr:rowOff>
    </xdr:to>
    <xdr:sp macro="" textlink="">
      <xdr:nvSpPr>
        <xdr:cNvPr id="16850" name="Line 466"/>
        <xdr:cNvSpPr>
          <a:spLocks noChangeShapeType="1"/>
        </xdr:cNvSpPr>
      </xdr:nvSpPr>
      <xdr:spPr bwMode="auto">
        <a:xfrm>
          <a:off x="3657600" y="20602575"/>
          <a:ext cx="38100" cy="15240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8</xdr:col>
      <xdr:colOff>0</xdr:colOff>
      <xdr:row>107</xdr:row>
      <xdr:rowOff>28575</xdr:rowOff>
    </xdr:from>
    <xdr:ext cx="428625" cy="215900"/>
    <xdr:sp macro="" textlink="">
      <xdr:nvSpPr>
        <xdr:cNvPr id="16851" name="Text Box 467"/>
        <xdr:cNvSpPr txBox="1">
          <a:spLocks noChangeArrowheads="1"/>
        </xdr:cNvSpPr>
      </xdr:nvSpPr>
      <xdr:spPr bwMode="auto">
        <a:xfrm>
          <a:off x="4867275" y="20850225"/>
          <a:ext cx="4286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Deg</a:t>
          </a: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</a:p>
      </xdr:txBody>
    </xdr:sp>
    <xdr:clientData/>
  </xdr:oneCellAnchor>
  <xdr:twoCellAnchor>
    <xdr:from>
      <xdr:col>6</xdr:col>
      <xdr:colOff>257175</xdr:colOff>
      <xdr:row>107</xdr:row>
      <xdr:rowOff>38100</xdr:rowOff>
    </xdr:from>
    <xdr:to>
      <xdr:col>6</xdr:col>
      <xdr:colOff>752475</xdr:colOff>
      <xdr:row>107</xdr:row>
      <xdr:rowOff>104775</xdr:rowOff>
    </xdr:to>
    <xdr:sp macro="" textlink="">
      <xdr:nvSpPr>
        <xdr:cNvPr id="16852" name="Line 468"/>
        <xdr:cNvSpPr>
          <a:spLocks noChangeShapeType="1"/>
        </xdr:cNvSpPr>
      </xdr:nvSpPr>
      <xdr:spPr bwMode="auto">
        <a:xfrm flipH="1" flipV="1">
          <a:off x="3705225" y="20859750"/>
          <a:ext cx="495300" cy="666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oval" w="med" len="med"/>
          <a:tailEnd type="oval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542925</xdr:colOff>
      <xdr:row>70</xdr:row>
      <xdr:rowOff>47625</xdr:rowOff>
    </xdr:from>
    <xdr:to>
      <xdr:col>5</xdr:col>
      <xdr:colOff>47625</xdr:colOff>
      <xdr:row>70</xdr:row>
      <xdr:rowOff>161925</xdr:rowOff>
    </xdr:to>
    <xdr:sp macro="" textlink="">
      <xdr:nvSpPr>
        <xdr:cNvPr id="16853" name="Oval 469"/>
        <xdr:cNvSpPr>
          <a:spLocks noChangeArrowheads="1"/>
        </xdr:cNvSpPr>
      </xdr:nvSpPr>
      <xdr:spPr bwMode="auto">
        <a:xfrm>
          <a:off x="2628900" y="13782675"/>
          <a:ext cx="123825" cy="1143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</xdr:spPr>
    </xdr:sp>
    <xdr:clientData/>
  </xdr:twoCellAnchor>
  <xdr:twoCellAnchor>
    <xdr:from>
      <xdr:col>9</xdr:col>
      <xdr:colOff>180975</xdr:colOff>
      <xdr:row>89</xdr:row>
      <xdr:rowOff>152400</xdr:rowOff>
    </xdr:from>
    <xdr:to>
      <xdr:col>9</xdr:col>
      <xdr:colOff>295275</xdr:colOff>
      <xdr:row>90</xdr:row>
      <xdr:rowOff>104775</xdr:rowOff>
    </xdr:to>
    <xdr:sp macro="" textlink="">
      <xdr:nvSpPr>
        <xdr:cNvPr id="16854" name="Oval 470"/>
        <xdr:cNvSpPr>
          <a:spLocks noChangeArrowheads="1"/>
        </xdr:cNvSpPr>
      </xdr:nvSpPr>
      <xdr:spPr bwMode="auto">
        <a:xfrm>
          <a:off x="5772150" y="17478375"/>
          <a:ext cx="114300" cy="1143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</xdr:spPr>
    </xdr:sp>
    <xdr:clientData/>
  </xdr:twoCellAnchor>
  <xdr:twoCellAnchor>
    <xdr:from>
      <xdr:col>4</xdr:col>
      <xdr:colOff>400050</xdr:colOff>
      <xdr:row>175</xdr:row>
      <xdr:rowOff>152400</xdr:rowOff>
    </xdr:from>
    <xdr:to>
      <xdr:col>9</xdr:col>
      <xdr:colOff>581025</xdr:colOff>
      <xdr:row>175</xdr:row>
      <xdr:rowOff>152400</xdr:rowOff>
    </xdr:to>
    <xdr:sp macro="" textlink="">
      <xdr:nvSpPr>
        <xdr:cNvPr id="16855" name="Line 471"/>
        <xdr:cNvSpPr>
          <a:spLocks noChangeShapeType="1"/>
        </xdr:cNvSpPr>
      </xdr:nvSpPr>
      <xdr:spPr bwMode="auto">
        <a:xfrm>
          <a:off x="2486025" y="34137600"/>
          <a:ext cx="368617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438150</xdr:colOff>
      <xdr:row>171</xdr:row>
      <xdr:rowOff>190500</xdr:rowOff>
    </xdr:from>
    <xdr:to>
      <xdr:col>10</xdr:col>
      <xdr:colOff>19050</xdr:colOff>
      <xdr:row>171</xdr:row>
      <xdr:rowOff>190500</xdr:rowOff>
    </xdr:to>
    <xdr:sp macro="" textlink="">
      <xdr:nvSpPr>
        <xdr:cNvPr id="16856" name="Line 472"/>
        <xdr:cNvSpPr>
          <a:spLocks noChangeShapeType="1"/>
        </xdr:cNvSpPr>
      </xdr:nvSpPr>
      <xdr:spPr bwMode="auto">
        <a:xfrm flipV="1">
          <a:off x="2524125" y="33385125"/>
          <a:ext cx="3695700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166</xdr:row>
      <xdr:rowOff>38100</xdr:rowOff>
    </xdr:from>
    <xdr:to>
      <xdr:col>5</xdr:col>
      <xdr:colOff>9525</xdr:colOff>
      <xdr:row>189</xdr:row>
      <xdr:rowOff>47625</xdr:rowOff>
    </xdr:to>
    <xdr:sp macro="" textlink="">
      <xdr:nvSpPr>
        <xdr:cNvPr id="16857" name="Line 473"/>
        <xdr:cNvSpPr>
          <a:spLocks noChangeShapeType="1"/>
        </xdr:cNvSpPr>
      </xdr:nvSpPr>
      <xdr:spPr bwMode="auto">
        <a:xfrm>
          <a:off x="2714625" y="32261175"/>
          <a:ext cx="0" cy="462915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lgDashDot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123825</xdr:colOff>
      <xdr:row>175</xdr:row>
      <xdr:rowOff>152400</xdr:rowOff>
    </xdr:from>
    <xdr:to>
      <xdr:col>5</xdr:col>
      <xdr:colOff>123825</xdr:colOff>
      <xdr:row>192</xdr:row>
      <xdr:rowOff>9525</xdr:rowOff>
    </xdr:to>
    <xdr:sp macro="" textlink="">
      <xdr:nvSpPr>
        <xdr:cNvPr id="16858" name="Line 474"/>
        <xdr:cNvSpPr>
          <a:spLocks noChangeShapeType="1"/>
        </xdr:cNvSpPr>
      </xdr:nvSpPr>
      <xdr:spPr bwMode="auto">
        <a:xfrm>
          <a:off x="2828925" y="34137600"/>
          <a:ext cx="0" cy="325755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495300</xdr:colOff>
      <xdr:row>175</xdr:row>
      <xdr:rowOff>152400</xdr:rowOff>
    </xdr:from>
    <xdr:to>
      <xdr:col>4</xdr:col>
      <xdr:colOff>495300</xdr:colOff>
      <xdr:row>192</xdr:row>
      <xdr:rowOff>9525</xdr:rowOff>
    </xdr:to>
    <xdr:sp macro="" textlink="">
      <xdr:nvSpPr>
        <xdr:cNvPr id="16859" name="Line 475"/>
        <xdr:cNvSpPr>
          <a:spLocks noChangeShapeType="1"/>
        </xdr:cNvSpPr>
      </xdr:nvSpPr>
      <xdr:spPr bwMode="auto">
        <a:xfrm>
          <a:off x="2581275" y="34137600"/>
          <a:ext cx="0" cy="325755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361950</xdr:colOff>
      <xdr:row>192</xdr:row>
      <xdr:rowOff>9525</xdr:rowOff>
    </xdr:from>
    <xdr:to>
      <xdr:col>10</xdr:col>
      <xdr:colOff>295275</xdr:colOff>
      <xdr:row>192</xdr:row>
      <xdr:rowOff>19050</xdr:rowOff>
    </xdr:to>
    <xdr:sp macro="" textlink="">
      <xdr:nvSpPr>
        <xdr:cNvPr id="16860" name="Line 476"/>
        <xdr:cNvSpPr>
          <a:spLocks noChangeShapeType="1"/>
        </xdr:cNvSpPr>
      </xdr:nvSpPr>
      <xdr:spPr bwMode="auto">
        <a:xfrm>
          <a:off x="2447925" y="37395150"/>
          <a:ext cx="4048125" cy="95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323850</xdr:colOff>
      <xdr:row>171</xdr:row>
      <xdr:rowOff>190500</xdr:rowOff>
    </xdr:from>
    <xdr:to>
      <xdr:col>4</xdr:col>
      <xdr:colOff>342900</xdr:colOff>
      <xdr:row>171</xdr:row>
      <xdr:rowOff>190500</xdr:rowOff>
    </xdr:to>
    <xdr:sp macro="" textlink="">
      <xdr:nvSpPr>
        <xdr:cNvPr id="16861" name="Line 477"/>
        <xdr:cNvSpPr>
          <a:spLocks noChangeShapeType="1"/>
        </xdr:cNvSpPr>
      </xdr:nvSpPr>
      <xdr:spPr bwMode="auto">
        <a:xfrm flipH="1">
          <a:off x="1628775" y="33385125"/>
          <a:ext cx="800100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323850</xdr:colOff>
      <xdr:row>175</xdr:row>
      <xdr:rowOff>152400</xdr:rowOff>
    </xdr:from>
    <xdr:to>
      <xdr:col>4</xdr:col>
      <xdr:colOff>352425</xdr:colOff>
      <xdr:row>175</xdr:row>
      <xdr:rowOff>152400</xdr:rowOff>
    </xdr:to>
    <xdr:sp macro="" textlink="">
      <xdr:nvSpPr>
        <xdr:cNvPr id="16862" name="Line 478"/>
        <xdr:cNvSpPr>
          <a:spLocks noChangeShapeType="1"/>
        </xdr:cNvSpPr>
      </xdr:nvSpPr>
      <xdr:spPr bwMode="auto">
        <a:xfrm flipH="1">
          <a:off x="1628775" y="34137600"/>
          <a:ext cx="80962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390525</xdr:colOff>
      <xdr:row>172</xdr:row>
      <xdr:rowOff>0</xdr:rowOff>
    </xdr:from>
    <xdr:to>
      <xdr:col>3</xdr:col>
      <xdr:colOff>390525</xdr:colOff>
      <xdr:row>175</xdr:row>
      <xdr:rowOff>152400</xdr:rowOff>
    </xdr:to>
    <xdr:sp macro="" textlink="">
      <xdr:nvSpPr>
        <xdr:cNvPr id="16863" name="Line 479"/>
        <xdr:cNvSpPr>
          <a:spLocks noChangeShapeType="1"/>
        </xdr:cNvSpPr>
      </xdr:nvSpPr>
      <xdr:spPr bwMode="auto">
        <a:xfrm>
          <a:off x="1695450" y="33394650"/>
          <a:ext cx="0" cy="74295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304800</xdr:colOff>
      <xdr:row>175</xdr:row>
      <xdr:rowOff>152400</xdr:rowOff>
    </xdr:from>
    <xdr:to>
      <xdr:col>9</xdr:col>
      <xdr:colOff>304800</xdr:colOff>
      <xdr:row>192</xdr:row>
      <xdr:rowOff>9525</xdr:rowOff>
    </xdr:to>
    <xdr:sp macro="" textlink="">
      <xdr:nvSpPr>
        <xdr:cNvPr id="16864" name="Line 480"/>
        <xdr:cNvSpPr>
          <a:spLocks noChangeShapeType="1"/>
        </xdr:cNvSpPr>
      </xdr:nvSpPr>
      <xdr:spPr bwMode="auto">
        <a:xfrm>
          <a:off x="5895975" y="34137600"/>
          <a:ext cx="0" cy="325755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166</xdr:row>
      <xdr:rowOff>76200</xdr:rowOff>
    </xdr:from>
    <xdr:to>
      <xdr:col>9</xdr:col>
      <xdr:colOff>409575</xdr:colOff>
      <xdr:row>198</xdr:row>
      <xdr:rowOff>85725</xdr:rowOff>
    </xdr:to>
    <xdr:sp macro="" textlink="">
      <xdr:nvSpPr>
        <xdr:cNvPr id="16865" name="Line 481"/>
        <xdr:cNvSpPr>
          <a:spLocks noChangeShapeType="1"/>
        </xdr:cNvSpPr>
      </xdr:nvSpPr>
      <xdr:spPr bwMode="auto">
        <a:xfrm>
          <a:off x="5981700" y="32299275"/>
          <a:ext cx="19050" cy="628650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lgDashDot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190500</xdr:colOff>
      <xdr:row>175</xdr:row>
      <xdr:rowOff>142875</xdr:rowOff>
    </xdr:from>
    <xdr:to>
      <xdr:col>8</xdr:col>
      <xdr:colOff>619125</xdr:colOff>
      <xdr:row>192</xdr:row>
      <xdr:rowOff>19050</xdr:rowOff>
    </xdr:to>
    <xdr:sp macro="" textlink="">
      <xdr:nvSpPr>
        <xdr:cNvPr id="16866" name="Line 482"/>
        <xdr:cNvSpPr>
          <a:spLocks noChangeShapeType="1"/>
        </xdr:cNvSpPr>
      </xdr:nvSpPr>
      <xdr:spPr bwMode="auto">
        <a:xfrm>
          <a:off x="2895600" y="34128075"/>
          <a:ext cx="2590800" cy="3276600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590550</xdr:colOff>
      <xdr:row>175</xdr:row>
      <xdr:rowOff>152400</xdr:rowOff>
    </xdr:from>
    <xdr:to>
      <xdr:col>9</xdr:col>
      <xdr:colOff>257175</xdr:colOff>
      <xdr:row>192</xdr:row>
      <xdr:rowOff>28575</xdr:rowOff>
    </xdr:to>
    <xdr:sp macro="" textlink="">
      <xdr:nvSpPr>
        <xdr:cNvPr id="16867" name="Line 483"/>
        <xdr:cNvSpPr>
          <a:spLocks noChangeShapeType="1"/>
        </xdr:cNvSpPr>
      </xdr:nvSpPr>
      <xdr:spPr bwMode="auto">
        <a:xfrm flipH="1" flipV="1">
          <a:off x="3295650" y="34137600"/>
          <a:ext cx="2552700" cy="3276600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123825</xdr:colOff>
      <xdr:row>174</xdr:row>
      <xdr:rowOff>38100</xdr:rowOff>
    </xdr:from>
    <xdr:to>
      <xdr:col>9</xdr:col>
      <xdr:colOff>276225</xdr:colOff>
      <xdr:row>193</xdr:row>
      <xdr:rowOff>95250</xdr:rowOff>
    </xdr:to>
    <xdr:sp macro="" textlink="">
      <xdr:nvSpPr>
        <xdr:cNvPr id="16868" name="Line 484"/>
        <xdr:cNvSpPr>
          <a:spLocks noChangeShapeType="1"/>
        </xdr:cNvSpPr>
      </xdr:nvSpPr>
      <xdr:spPr bwMode="auto">
        <a:xfrm flipH="1" flipV="1">
          <a:off x="2828925" y="33813750"/>
          <a:ext cx="3038475" cy="382905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lgDashDot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495300</xdr:colOff>
      <xdr:row>175</xdr:row>
      <xdr:rowOff>142875</xdr:rowOff>
    </xdr:from>
    <xdr:to>
      <xdr:col>9</xdr:col>
      <xdr:colOff>495300</xdr:colOff>
      <xdr:row>192</xdr:row>
      <xdr:rowOff>19050</xdr:rowOff>
    </xdr:to>
    <xdr:sp macro="" textlink="">
      <xdr:nvSpPr>
        <xdr:cNvPr id="16869" name="Line 485"/>
        <xdr:cNvSpPr>
          <a:spLocks noChangeShapeType="1"/>
        </xdr:cNvSpPr>
      </xdr:nvSpPr>
      <xdr:spPr bwMode="auto">
        <a:xfrm>
          <a:off x="6086475" y="34128075"/>
          <a:ext cx="0" cy="327660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66675</xdr:colOff>
      <xdr:row>172</xdr:row>
      <xdr:rowOff>0</xdr:rowOff>
    </xdr:from>
    <xdr:to>
      <xdr:col>12</xdr:col>
      <xdr:colOff>352425</xdr:colOff>
      <xdr:row>172</xdr:row>
      <xdr:rowOff>0</xdr:rowOff>
    </xdr:to>
    <xdr:sp macro="" textlink="">
      <xdr:nvSpPr>
        <xdr:cNvPr id="16870" name="Line 486"/>
        <xdr:cNvSpPr>
          <a:spLocks noChangeShapeType="1"/>
        </xdr:cNvSpPr>
      </xdr:nvSpPr>
      <xdr:spPr bwMode="auto">
        <a:xfrm>
          <a:off x="6267450" y="33394650"/>
          <a:ext cx="1771650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342900</xdr:colOff>
      <xdr:row>192</xdr:row>
      <xdr:rowOff>9525</xdr:rowOff>
    </xdr:from>
    <xdr:to>
      <xdr:col>12</xdr:col>
      <xdr:colOff>400050</xdr:colOff>
      <xdr:row>192</xdr:row>
      <xdr:rowOff>9525</xdr:rowOff>
    </xdr:to>
    <xdr:sp macro="" textlink="">
      <xdr:nvSpPr>
        <xdr:cNvPr id="16871" name="Line 487"/>
        <xdr:cNvSpPr>
          <a:spLocks noChangeShapeType="1"/>
        </xdr:cNvSpPr>
      </xdr:nvSpPr>
      <xdr:spPr bwMode="auto">
        <a:xfrm>
          <a:off x="6543675" y="37395150"/>
          <a:ext cx="1543050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333375</xdr:colOff>
      <xdr:row>172</xdr:row>
      <xdr:rowOff>0</xdr:rowOff>
    </xdr:from>
    <xdr:to>
      <xdr:col>12</xdr:col>
      <xdr:colOff>333375</xdr:colOff>
      <xdr:row>192</xdr:row>
      <xdr:rowOff>0</xdr:rowOff>
    </xdr:to>
    <xdr:sp macro="" textlink="">
      <xdr:nvSpPr>
        <xdr:cNvPr id="16872" name="Line 488"/>
        <xdr:cNvSpPr>
          <a:spLocks noChangeShapeType="1"/>
        </xdr:cNvSpPr>
      </xdr:nvSpPr>
      <xdr:spPr bwMode="auto">
        <a:xfrm flipV="1">
          <a:off x="8020050" y="33394650"/>
          <a:ext cx="0" cy="399097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333375</xdr:colOff>
      <xdr:row>181</xdr:row>
      <xdr:rowOff>95250</xdr:rowOff>
    </xdr:from>
    <xdr:to>
      <xdr:col>12</xdr:col>
      <xdr:colOff>704850</xdr:colOff>
      <xdr:row>181</xdr:row>
      <xdr:rowOff>95250</xdr:rowOff>
    </xdr:to>
    <xdr:sp macro="" textlink="">
      <xdr:nvSpPr>
        <xdr:cNvPr id="16873" name="Line 489"/>
        <xdr:cNvSpPr>
          <a:spLocks noChangeShapeType="1"/>
        </xdr:cNvSpPr>
      </xdr:nvSpPr>
      <xdr:spPr bwMode="auto">
        <a:xfrm flipH="1">
          <a:off x="8020050" y="35252025"/>
          <a:ext cx="3714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oval" w="med" len="med"/>
          <a:tailEnd type="oval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142875</xdr:colOff>
      <xdr:row>182</xdr:row>
      <xdr:rowOff>66675</xdr:rowOff>
    </xdr:from>
    <xdr:to>
      <xdr:col>6</xdr:col>
      <xdr:colOff>514350</xdr:colOff>
      <xdr:row>183</xdr:row>
      <xdr:rowOff>161925</xdr:rowOff>
    </xdr:to>
    <xdr:sp macro="" textlink="">
      <xdr:nvSpPr>
        <xdr:cNvPr id="16874" name="Line 490"/>
        <xdr:cNvSpPr>
          <a:spLocks noChangeShapeType="1"/>
        </xdr:cNvSpPr>
      </xdr:nvSpPr>
      <xdr:spPr bwMode="auto">
        <a:xfrm flipH="1">
          <a:off x="3590925" y="35433000"/>
          <a:ext cx="371475" cy="30480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723900</xdr:colOff>
      <xdr:row>180</xdr:row>
      <xdr:rowOff>66675</xdr:rowOff>
    </xdr:from>
    <xdr:to>
      <xdr:col>7</xdr:col>
      <xdr:colOff>247650</xdr:colOff>
      <xdr:row>181</xdr:row>
      <xdr:rowOff>123825</xdr:rowOff>
    </xdr:to>
    <xdr:sp macro="" textlink="">
      <xdr:nvSpPr>
        <xdr:cNvPr id="16875" name="Line 491"/>
        <xdr:cNvSpPr>
          <a:spLocks noChangeShapeType="1"/>
        </xdr:cNvSpPr>
      </xdr:nvSpPr>
      <xdr:spPr bwMode="auto">
        <a:xfrm flipV="1">
          <a:off x="4171950" y="35004375"/>
          <a:ext cx="285750" cy="2762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247650</xdr:colOff>
      <xdr:row>180</xdr:row>
      <xdr:rowOff>66675</xdr:rowOff>
    </xdr:from>
    <xdr:to>
      <xdr:col>8</xdr:col>
      <xdr:colOff>0</xdr:colOff>
      <xdr:row>180</xdr:row>
      <xdr:rowOff>66675</xdr:rowOff>
    </xdr:to>
    <xdr:sp macro="" textlink="">
      <xdr:nvSpPr>
        <xdr:cNvPr id="16876" name="Line 492"/>
        <xdr:cNvSpPr>
          <a:spLocks noChangeShapeType="1"/>
        </xdr:cNvSpPr>
      </xdr:nvSpPr>
      <xdr:spPr bwMode="auto">
        <a:xfrm>
          <a:off x="4457700" y="35004375"/>
          <a:ext cx="40957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495300</xdr:colOff>
      <xdr:row>177</xdr:row>
      <xdr:rowOff>104775</xdr:rowOff>
    </xdr:from>
    <xdr:to>
      <xdr:col>11</xdr:col>
      <xdr:colOff>9525</xdr:colOff>
      <xdr:row>177</xdr:row>
      <xdr:rowOff>114300</xdr:rowOff>
    </xdr:to>
    <xdr:sp macro="" textlink="">
      <xdr:nvSpPr>
        <xdr:cNvPr id="16877" name="Line 493"/>
        <xdr:cNvSpPr>
          <a:spLocks noChangeShapeType="1"/>
        </xdr:cNvSpPr>
      </xdr:nvSpPr>
      <xdr:spPr bwMode="auto">
        <a:xfrm flipV="1">
          <a:off x="6086475" y="34461450"/>
          <a:ext cx="876300" cy="95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66675</xdr:colOff>
      <xdr:row>177</xdr:row>
      <xdr:rowOff>114300</xdr:rowOff>
    </xdr:from>
    <xdr:to>
      <xdr:col>9</xdr:col>
      <xdr:colOff>295275</xdr:colOff>
      <xdr:row>177</xdr:row>
      <xdr:rowOff>114300</xdr:rowOff>
    </xdr:to>
    <xdr:sp macro="" textlink="">
      <xdr:nvSpPr>
        <xdr:cNvPr id="16878" name="Line 494"/>
        <xdr:cNvSpPr>
          <a:spLocks noChangeShapeType="1"/>
        </xdr:cNvSpPr>
      </xdr:nvSpPr>
      <xdr:spPr bwMode="auto">
        <a:xfrm flipH="1">
          <a:off x="5657850" y="34470975"/>
          <a:ext cx="228600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38100</xdr:colOff>
      <xdr:row>167</xdr:row>
      <xdr:rowOff>76200</xdr:rowOff>
    </xdr:from>
    <xdr:to>
      <xdr:col>6</xdr:col>
      <xdr:colOff>733425</xdr:colOff>
      <xdr:row>167</xdr:row>
      <xdr:rowOff>76200</xdr:rowOff>
    </xdr:to>
    <xdr:sp macro="" textlink="">
      <xdr:nvSpPr>
        <xdr:cNvPr id="16879" name="Line 495"/>
        <xdr:cNvSpPr>
          <a:spLocks noChangeShapeType="1"/>
        </xdr:cNvSpPr>
      </xdr:nvSpPr>
      <xdr:spPr bwMode="auto">
        <a:xfrm>
          <a:off x="2743200" y="32470725"/>
          <a:ext cx="143827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28575</xdr:colOff>
      <xdr:row>167</xdr:row>
      <xdr:rowOff>57150</xdr:rowOff>
    </xdr:from>
    <xdr:to>
      <xdr:col>9</xdr:col>
      <xdr:colOff>400050</xdr:colOff>
      <xdr:row>167</xdr:row>
      <xdr:rowOff>57150</xdr:rowOff>
    </xdr:to>
    <xdr:sp macro="" textlink="">
      <xdr:nvSpPr>
        <xdr:cNvPr id="16880" name="Line 496"/>
        <xdr:cNvSpPr>
          <a:spLocks noChangeShapeType="1"/>
        </xdr:cNvSpPr>
      </xdr:nvSpPr>
      <xdr:spPr bwMode="auto">
        <a:xfrm>
          <a:off x="4895850" y="32451675"/>
          <a:ext cx="109537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10</xdr:col>
      <xdr:colOff>276225</xdr:colOff>
      <xdr:row>189</xdr:row>
      <xdr:rowOff>28575</xdr:rowOff>
    </xdr:from>
    <xdr:ext cx="539750" cy="254000"/>
    <xdr:sp macro="" textlink="">
      <xdr:nvSpPr>
        <xdr:cNvPr id="16881" name="AutoShape 497"/>
        <xdr:cNvSpPr>
          <a:spLocks/>
        </xdr:cNvSpPr>
      </xdr:nvSpPr>
      <xdr:spPr bwMode="auto">
        <a:xfrm>
          <a:off x="6477000" y="36871275"/>
          <a:ext cx="542925" cy="247650"/>
        </a:xfrm>
        <a:prstGeom prst="borderCallout2">
          <a:avLst>
            <a:gd name="adj1" fmla="val 46153"/>
            <a:gd name="adj2" fmla="val -14037"/>
            <a:gd name="adj3" fmla="val 46153"/>
            <a:gd name="adj4" fmla="val -33333"/>
            <a:gd name="adj5" fmla="val 203847"/>
            <a:gd name="adj6" fmla="val -108773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2" clr.</a:t>
          </a:r>
        </a:p>
      </xdr:txBody>
    </xdr:sp>
    <xdr:clientData/>
  </xdr:oneCellAnchor>
  <xdr:oneCellAnchor>
    <xdr:from>
      <xdr:col>5</xdr:col>
      <xdr:colOff>561975</xdr:colOff>
      <xdr:row>172</xdr:row>
      <xdr:rowOff>104775</xdr:rowOff>
    </xdr:from>
    <xdr:ext cx="530225" cy="254000"/>
    <xdr:sp macro="" textlink="">
      <xdr:nvSpPr>
        <xdr:cNvPr id="16882" name="AutoShape 498"/>
        <xdr:cNvSpPr>
          <a:spLocks/>
        </xdr:cNvSpPr>
      </xdr:nvSpPr>
      <xdr:spPr bwMode="auto">
        <a:xfrm>
          <a:off x="3267075" y="33499425"/>
          <a:ext cx="523875" cy="247650"/>
        </a:xfrm>
        <a:prstGeom prst="borderCallout2">
          <a:avLst>
            <a:gd name="adj1" fmla="val 46153"/>
            <a:gd name="adj2" fmla="val -14287"/>
            <a:gd name="adj3" fmla="val 46153"/>
            <a:gd name="adj4" fmla="val -26787"/>
            <a:gd name="adj5" fmla="val 253847"/>
            <a:gd name="adj6" fmla="val -75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2" clr.</a:t>
          </a:r>
        </a:p>
      </xdr:txBody>
    </xdr:sp>
    <xdr:clientData/>
  </xdr:oneCellAnchor>
  <xdr:twoCellAnchor>
    <xdr:from>
      <xdr:col>4</xdr:col>
      <xdr:colOff>9525</xdr:colOff>
      <xdr:row>175</xdr:row>
      <xdr:rowOff>142875</xdr:rowOff>
    </xdr:from>
    <xdr:to>
      <xdr:col>5</xdr:col>
      <xdr:colOff>161925</xdr:colOff>
      <xdr:row>179</xdr:row>
      <xdr:rowOff>142875</xdr:rowOff>
    </xdr:to>
    <xdr:sp macro="" textlink="">
      <xdr:nvSpPr>
        <xdr:cNvPr id="16883" name="Line 499"/>
        <xdr:cNvSpPr>
          <a:spLocks noChangeShapeType="1"/>
        </xdr:cNvSpPr>
      </xdr:nvSpPr>
      <xdr:spPr bwMode="auto">
        <a:xfrm flipH="1">
          <a:off x="2095500" y="34128075"/>
          <a:ext cx="771525" cy="78105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</xdr:colOff>
      <xdr:row>192</xdr:row>
      <xdr:rowOff>0</xdr:rowOff>
    </xdr:from>
    <xdr:to>
      <xdr:col>9</xdr:col>
      <xdr:colOff>228600</xdr:colOff>
      <xdr:row>196</xdr:row>
      <xdr:rowOff>133350</xdr:rowOff>
    </xdr:to>
    <xdr:sp macro="" textlink="">
      <xdr:nvSpPr>
        <xdr:cNvPr id="16884" name="Line 500"/>
        <xdr:cNvSpPr>
          <a:spLocks noChangeShapeType="1"/>
        </xdr:cNvSpPr>
      </xdr:nvSpPr>
      <xdr:spPr bwMode="auto">
        <a:xfrm flipH="1">
          <a:off x="4886325" y="37385625"/>
          <a:ext cx="933450" cy="83820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76200</xdr:colOff>
      <xdr:row>179</xdr:row>
      <xdr:rowOff>57150</xdr:rowOff>
    </xdr:from>
    <xdr:to>
      <xdr:col>8</xdr:col>
      <xdr:colOff>66675</xdr:colOff>
      <xdr:row>196</xdr:row>
      <xdr:rowOff>95250</xdr:rowOff>
    </xdr:to>
    <xdr:sp macro="" textlink="">
      <xdr:nvSpPr>
        <xdr:cNvPr id="16885" name="Line 501"/>
        <xdr:cNvSpPr>
          <a:spLocks noChangeShapeType="1"/>
        </xdr:cNvSpPr>
      </xdr:nvSpPr>
      <xdr:spPr bwMode="auto">
        <a:xfrm flipH="1" flipV="1">
          <a:off x="2162175" y="34823400"/>
          <a:ext cx="2771775" cy="33623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114300</xdr:colOff>
      <xdr:row>186</xdr:row>
      <xdr:rowOff>28575</xdr:rowOff>
    </xdr:from>
    <xdr:to>
      <xdr:col>6</xdr:col>
      <xdr:colOff>314325</xdr:colOff>
      <xdr:row>187</xdr:row>
      <xdr:rowOff>76200</xdr:rowOff>
    </xdr:to>
    <xdr:sp macro="" textlink="">
      <xdr:nvSpPr>
        <xdr:cNvPr id="16886" name="Line 502"/>
        <xdr:cNvSpPr>
          <a:spLocks noChangeShapeType="1"/>
        </xdr:cNvSpPr>
      </xdr:nvSpPr>
      <xdr:spPr bwMode="auto">
        <a:xfrm flipH="1">
          <a:off x="3562350" y="36242625"/>
          <a:ext cx="200025" cy="25717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oval" w="med" len="med"/>
          <a:tailEnd type="oval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9525</xdr:colOff>
      <xdr:row>185</xdr:row>
      <xdr:rowOff>123825</xdr:rowOff>
    </xdr:from>
    <xdr:to>
      <xdr:col>4</xdr:col>
      <xdr:colOff>504825</xdr:colOff>
      <xdr:row>185</xdr:row>
      <xdr:rowOff>123825</xdr:rowOff>
    </xdr:to>
    <xdr:sp macro="" textlink="">
      <xdr:nvSpPr>
        <xdr:cNvPr id="16887" name="Line 503"/>
        <xdr:cNvSpPr>
          <a:spLocks noChangeShapeType="1"/>
        </xdr:cNvSpPr>
      </xdr:nvSpPr>
      <xdr:spPr bwMode="auto">
        <a:xfrm flipH="1">
          <a:off x="2095500" y="36128325"/>
          <a:ext cx="495300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123825</xdr:colOff>
      <xdr:row>185</xdr:row>
      <xdr:rowOff>133350</xdr:rowOff>
    </xdr:from>
    <xdr:to>
      <xdr:col>5</xdr:col>
      <xdr:colOff>304800</xdr:colOff>
      <xdr:row>185</xdr:row>
      <xdr:rowOff>133350</xdr:rowOff>
    </xdr:to>
    <xdr:sp macro="" textlink="">
      <xdr:nvSpPr>
        <xdr:cNvPr id="16888" name="Line 504"/>
        <xdr:cNvSpPr>
          <a:spLocks noChangeShapeType="1"/>
        </xdr:cNvSpPr>
      </xdr:nvSpPr>
      <xdr:spPr bwMode="auto">
        <a:xfrm>
          <a:off x="2828925" y="36137850"/>
          <a:ext cx="18097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447675</xdr:colOff>
      <xdr:row>172</xdr:row>
      <xdr:rowOff>38100</xdr:rowOff>
    </xdr:from>
    <xdr:to>
      <xdr:col>9</xdr:col>
      <xdr:colOff>581025</xdr:colOff>
      <xdr:row>172</xdr:row>
      <xdr:rowOff>38100</xdr:rowOff>
    </xdr:to>
    <xdr:sp macro="" textlink="">
      <xdr:nvSpPr>
        <xdr:cNvPr id="16889" name="Line 505"/>
        <xdr:cNvSpPr>
          <a:spLocks noChangeShapeType="1"/>
        </xdr:cNvSpPr>
      </xdr:nvSpPr>
      <xdr:spPr bwMode="auto">
        <a:xfrm>
          <a:off x="2533650" y="33432750"/>
          <a:ext cx="36385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400050</xdr:colOff>
      <xdr:row>175</xdr:row>
      <xdr:rowOff>114300</xdr:rowOff>
    </xdr:from>
    <xdr:to>
      <xdr:col>9</xdr:col>
      <xdr:colOff>561975</xdr:colOff>
      <xdr:row>175</xdr:row>
      <xdr:rowOff>114300</xdr:rowOff>
    </xdr:to>
    <xdr:sp macro="" textlink="">
      <xdr:nvSpPr>
        <xdr:cNvPr id="16890" name="Line 506"/>
        <xdr:cNvSpPr>
          <a:spLocks noChangeShapeType="1"/>
        </xdr:cNvSpPr>
      </xdr:nvSpPr>
      <xdr:spPr bwMode="auto">
        <a:xfrm>
          <a:off x="2486025" y="34099500"/>
          <a:ext cx="36671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133350</xdr:colOff>
      <xdr:row>174</xdr:row>
      <xdr:rowOff>19050</xdr:rowOff>
    </xdr:from>
    <xdr:to>
      <xdr:col>5</xdr:col>
      <xdr:colOff>114300</xdr:colOff>
      <xdr:row>174</xdr:row>
      <xdr:rowOff>28575</xdr:rowOff>
    </xdr:to>
    <xdr:sp macro="" textlink="">
      <xdr:nvSpPr>
        <xdr:cNvPr id="16891" name="Line 507"/>
        <xdr:cNvSpPr>
          <a:spLocks noChangeShapeType="1"/>
        </xdr:cNvSpPr>
      </xdr:nvSpPr>
      <xdr:spPr bwMode="auto">
        <a:xfrm>
          <a:off x="2219325" y="33794700"/>
          <a:ext cx="600075" cy="95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161925</xdr:colOff>
      <xdr:row>172</xdr:row>
      <xdr:rowOff>0</xdr:rowOff>
    </xdr:from>
    <xdr:to>
      <xdr:col>4</xdr:col>
      <xdr:colOff>161925</xdr:colOff>
      <xdr:row>174</xdr:row>
      <xdr:rowOff>9525</xdr:rowOff>
    </xdr:to>
    <xdr:sp macro="" textlink="">
      <xdr:nvSpPr>
        <xdr:cNvPr id="16892" name="Line 508"/>
        <xdr:cNvSpPr>
          <a:spLocks noChangeShapeType="1"/>
        </xdr:cNvSpPr>
      </xdr:nvSpPr>
      <xdr:spPr bwMode="auto">
        <a:xfrm flipV="1">
          <a:off x="2247900" y="33394650"/>
          <a:ext cx="0" cy="3905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161925</xdr:colOff>
      <xdr:row>169</xdr:row>
      <xdr:rowOff>95250</xdr:rowOff>
    </xdr:from>
    <xdr:to>
      <xdr:col>4</xdr:col>
      <xdr:colOff>161925</xdr:colOff>
      <xdr:row>171</xdr:row>
      <xdr:rowOff>190500</xdr:rowOff>
    </xdr:to>
    <xdr:sp macro="" textlink="">
      <xdr:nvSpPr>
        <xdr:cNvPr id="16893" name="Line 509"/>
        <xdr:cNvSpPr>
          <a:spLocks noChangeShapeType="1"/>
        </xdr:cNvSpPr>
      </xdr:nvSpPr>
      <xdr:spPr bwMode="auto">
        <a:xfrm flipV="1">
          <a:off x="2247900" y="32908875"/>
          <a:ext cx="0" cy="47625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723900</xdr:colOff>
      <xdr:row>173</xdr:row>
      <xdr:rowOff>190500</xdr:rowOff>
    </xdr:from>
    <xdr:to>
      <xdr:col>3</xdr:col>
      <xdr:colOff>390525</xdr:colOff>
      <xdr:row>174</xdr:row>
      <xdr:rowOff>104775</xdr:rowOff>
    </xdr:to>
    <xdr:sp macro="" textlink="">
      <xdr:nvSpPr>
        <xdr:cNvPr id="16894" name="Line 510"/>
        <xdr:cNvSpPr>
          <a:spLocks noChangeShapeType="1"/>
        </xdr:cNvSpPr>
      </xdr:nvSpPr>
      <xdr:spPr bwMode="auto">
        <a:xfrm flipV="1">
          <a:off x="1295400" y="33756600"/>
          <a:ext cx="400050" cy="1238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oval" w="med" len="med"/>
          <a:tailEnd type="oval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169</xdr:row>
      <xdr:rowOff>95250</xdr:rowOff>
    </xdr:from>
    <xdr:to>
      <xdr:col>4</xdr:col>
      <xdr:colOff>171450</xdr:colOff>
      <xdr:row>169</xdr:row>
      <xdr:rowOff>95250</xdr:rowOff>
    </xdr:to>
    <xdr:sp macro="" textlink="">
      <xdr:nvSpPr>
        <xdr:cNvPr id="16895" name="Line 511"/>
        <xdr:cNvSpPr>
          <a:spLocks noChangeShapeType="1"/>
        </xdr:cNvSpPr>
      </xdr:nvSpPr>
      <xdr:spPr bwMode="auto">
        <a:xfrm flipH="1">
          <a:off x="1314450" y="32908875"/>
          <a:ext cx="94297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104775</xdr:colOff>
      <xdr:row>169</xdr:row>
      <xdr:rowOff>9525</xdr:rowOff>
    </xdr:from>
    <xdr:to>
      <xdr:col>5</xdr:col>
      <xdr:colOff>104775</xdr:colOff>
      <xdr:row>174</xdr:row>
      <xdr:rowOff>0</xdr:rowOff>
    </xdr:to>
    <xdr:sp macro="" textlink="">
      <xdr:nvSpPr>
        <xdr:cNvPr id="16896" name="Line 512"/>
        <xdr:cNvSpPr>
          <a:spLocks noChangeShapeType="1"/>
        </xdr:cNvSpPr>
      </xdr:nvSpPr>
      <xdr:spPr bwMode="auto">
        <a:xfrm flipV="1">
          <a:off x="2809875" y="32823150"/>
          <a:ext cx="0" cy="95250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114300</xdr:colOff>
      <xdr:row>169</xdr:row>
      <xdr:rowOff>104775</xdr:rowOff>
    </xdr:from>
    <xdr:to>
      <xdr:col>6</xdr:col>
      <xdr:colOff>0</xdr:colOff>
      <xdr:row>169</xdr:row>
      <xdr:rowOff>104775</xdr:rowOff>
    </xdr:to>
    <xdr:sp macro="" textlink="">
      <xdr:nvSpPr>
        <xdr:cNvPr id="16897" name="Line 513"/>
        <xdr:cNvSpPr>
          <a:spLocks noChangeShapeType="1"/>
        </xdr:cNvSpPr>
      </xdr:nvSpPr>
      <xdr:spPr bwMode="auto">
        <a:xfrm flipV="1">
          <a:off x="2819400" y="32918400"/>
          <a:ext cx="628650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342900</xdr:colOff>
      <xdr:row>169</xdr:row>
      <xdr:rowOff>104775</xdr:rowOff>
    </xdr:from>
    <xdr:to>
      <xdr:col>5</xdr:col>
      <xdr:colOff>28575</xdr:colOff>
      <xdr:row>169</xdr:row>
      <xdr:rowOff>104775</xdr:rowOff>
    </xdr:to>
    <xdr:sp macro="" textlink="">
      <xdr:nvSpPr>
        <xdr:cNvPr id="16898" name="Line 514"/>
        <xdr:cNvSpPr>
          <a:spLocks noChangeShapeType="1"/>
        </xdr:cNvSpPr>
      </xdr:nvSpPr>
      <xdr:spPr bwMode="auto">
        <a:xfrm>
          <a:off x="2428875" y="32918400"/>
          <a:ext cx="304800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390525</xdr:colOff>
      <xdr:row>194</xdr:row>
      <xdr:rowOff>114300</xdr:rowOff>
    </xdr:from>
    <xdr:to>
      <xdr:col>10</xdr:col>
      <xdr:colOff>323850</xdr:colOff>
      <xdr:row>194</xdr:row>
      <xdr:rowOff>123825</xdr:rowOff>
    </xdr:to>
    <xdr:sp macro="" textlink="">
      <xdr:nvSpPr>
        <xdr:cNvPr id="16899" name="Line 515"/>
        <xdr:cNvSpPr>
          <a:spLocks noChangeShapeType="1"/>
        </xdr:cNvSpPr>
      </xdr:nvSpPr>
      <xdr:spPr bwMode="auto">
        <a:xfrm>
          <a:off x="2476500" y="37823775"/>
          <a:ext cx="4048125" cy="95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428625</xdr:colOff>
      <xdr:row>192</xdr:row>
      <xdr:rowOff>66675</xdr:rowOff>
    </xdr:from>
    <xdr:to>
      <xdr:col>10</xdr:col>
      <xdr:colOff>257175</xdr:colOff>
      <xdr:row>192</xdr:row>
      <xdr:rowOff>66675</xdr:rowOff>
    </xdr:to>
    <xdr:sp macro="" textlink="">
      <xdr:nvSpPr>
        <xdr:cNvPr id="16900" name="Line 516"/>
        <xdr:cNvSpPr>
          <a:spLocks noChangeShapeType="1"/>
        </xdr:cNvSpPr>
      </xdr:nvSpPr>
      <xdr:spPr bwMode="auto">
        <a:xfrm>
          <a:off x="2514600" y="37452300"/>
          <a:ext cx="39433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428625</xdr:colOff>
      <xdr:row>194</xdr:row>
      <xdr:rowOff>66675</xdr:rowOff>
    </xdr:from>
    <xdr:to>
      <xdr:col>10</xdr:col>
      <xdr:colOff>257175</xdr:colOff>
      <xdr:row>194</xdr:row>
      <xdr:rowOff>66675</xdr:rowOff>
    </xdr:to>
    <xdr:sp macro="" textlink="">
      <xdr:nvSpPr>
        <xdr:cNvPr id="16901" name="Line 517"/>
        <xdr:cNvSpPr>
          <a:spLocks noChangeShapeType="1"/>
        </xdr:cNvSpPr>
      </xdr:nvSpPr>
      <xdr:spPr bwMode="auto">
        <a:xfrm>
          <a:off x="2514600" y="37776150"/>
          <a:ext cx="39433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247650</xdr:colOff>
      <xdr:row>193</xdr:row>
      <xdr:rowOff>76200</xdr:rowOff>
    </xdr:from>
    <xdr:to>
      <xdr:col>11</xdr:col>
      <xdr:colOff>457200</xdr:colOff>
      <xdr:row>193</xdr:row>
      <xdr:rowOff>76200</xdr:rowOff>
    </xdr:to>
    <xdr:sp macro="" textlink="">
      <xdr:nvSpPr>
        <xdr:cNvPr id="16902" name="Line 518"/>
        <xdr:cNvSpPr>
          <a:spLocks noChangeShapeType="1"/>
        </xdr:cNvSpPr>
      </xdr:nvSpPr>
      <xdr:spPr bwMode="auto">
        <a:xfrm flipV="1">
          <a:off x="5838825" y="37623750"/>
          <a:ext cx="157162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352425</xdr:colOff>
      <xdr:row>189</xdr:row>
      <xdr:rowOff>152400</xdr:rowOff>
    </xdr:from>
    <xdr:to>
      <xdr:col>11</xdr:col>
      <xdr:colOff>352425</xdr:colOff>
      <xdr:row>192</xdr:row>
      <xdr:rowOff>9525</xdr:rowOff>
    </xdr:to>
    <xdr:sp macro="" textlink="">
      <xdr:nvSpPr>
        <xdr:cNvPr id="16903" name="Line 519"/>
        <xdr:cNvSpPr>
          <a:spLocks noChangeShapeType="1"/>
        </xdr:cNvSpPr>
      </xdr:nvSpPr>
      <xdr:spPr bwMode="auto">
        <a:xfrm flipV="1">
          <a:off x="7305675" y="36995100"/>
          <a:ext cx="0" cy="40005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352425</xdr:colOff>
      <xdr:row>193</xdr:row>
      <xdr:rowOff>66675</xdr:rowOff>
    </xdr:from>
    <xdr:to>
      <xdr:col>11</xdr:col>
      <xdr:colOff>352425</xdr:colOff>
      <xdr:row>195</xdr:row>
      <xdr:rowOff>85725</xdr:rowOff>
    </xdr:to>
    <xdr:sp macro="" textlink="">
      <xdr:nvSpPr>
        <xdr:cNvPr id="16904" name="Line 520"/>
        <xdr:cNvSpPr>
          <a:spLocks noChangeShapeType="1"/>
        </xdr:cNvSpPr>
      </xdr:nvSpPr>
      <xdr:spPr bwMode="auto">
        <a:xfrm flipV="1">
          <a:off x="7305675" y="37614225"/>
          <a:ext cx="0" cy="3524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352425</xdr:colOff>
      <xdr:row>192</xdr:row>
      <xdr:rowOff>19050</xdr:rowOff>
    </xdr:from>
    <xdr:to>
      <xdr:col>11</xdr:col>
      <xdr:colOff>352425</xdr:colOff>
      <xdr:row>193</xdr:row>
      <xdr:rowOff>66675</xdr:rowOff>
    </xdr:to>
    <xdr:sp macro="" textlink="">
      <xdr:nvSpPr>
        <xdr:cNvPr id="16905" name="Line 521"/>
        <xdr:cNvSpPr>
          <a:spLocks noChangeShapeType="1"/>
        </xdr:cNvSpPr>
      </xdr:nvSpPr>
      <xdr:spPr bwMode="auto">
        <a:xfrm flipH="1" flipV="1">
          <a:off x="7305675" y="37404675"/>
          <a:ext cx="0" cy="20955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361950</xdr:colOff>
      <xdr:row>195</xdr:row>
      <xdr:rowOff>85725</xdr:rowOff>
    </xdr:from>
    <xdr:to>
      <xdr:col>11</xdr:col>
      <xdr:colOff>714375</xdr:colOff>
      <xdr:row>195</xdr:row>
      <xdr:rowOff>85725</xdr:rowOff>
    </xdr:to>
    <xdr:sp macro="" textlink="">
      <xdr:nvSpPr>
        <xdr:cNvPr id="16906" name="Line 522"/>
        <xdr:cNvSpPr>
          <a:spLocks noChangeShapeType="1"/>
        </xdr:cNvSpPr>
      </xdr:nvSpPr>
      <xdr:spPr bwMode="auto">
        <a:xfrm flipV="1">
          <a:off x="7315200" y="37966650"/>
          <a:ext cx="35242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47625</xdr:colOff>
      <xdr:row>173</xdr:row>
      <xdr:rowOff>152400</xdr:rowOff>
    </xdr:from>
    <xdr:to>
      <xdr:col>5</xdr:col>
      <xdr:colOff>161925</xdr:colOff>
      <xdr:row>174</xdr:row>
      <xdr:rowOff>57150</xdr:rowOff>
    </xdr:to>
    <xdr:sp macro="" textlink="">
      <xdr:nvSpPr>
        <xdr:cNvPr id="16907" name="Oval 523"/>
        <xdr:cNvSpPr>
          <a:spLocks noChangeArrowheads="1"/>
        </xdr:cNvSpPr>
      </xdr:nvSpPr>
      <xdr:spPr bwMode="auto">
        <a:xfrm>
          <a:off x="2752725" y="33718500"/>
          <a:ext cx="114300" cy="1143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</xdr:spPr>
    </xdr:sp>
    <xdr:clientData/>
  </xdr:twoCellAnchor>
  <xdr:twoCellAnchor>
    <xdr:from>
      <xdr:col>9</xdr:col>
      <xdr:colOff>200025</xdr:colOff>
      <xdr:row>193</xdr:row>
      <xdr:rowOff>28575</xdr:rowOff>
    </xdr:from>
    <xdr:to>
      <xdr:col>9</xdr:col>
      <xdr:colOff>314325</xdr:colOff>
      <xdr:row>193</xdr:row>
      <xdr:rowOff>142875</xdr:rowOff>
    </xdr:to>
    <xdr:sp macro="" textlink="">
      <xdr:nvSpPr>
        <xdr:cNvPr id="16908" name="Oval 524"/>
        <xdr:cNvSpPr>
          <a:spLocks noChangeArrowheads="1"/>
        </xdr:cNvSpPr>
      </xdr:nvSpPr>
      <xdr:spPr bwMode="auto">
        <a:xfrm>
          <a:off x="5791200" y="37576125"/>
          <a:ext cx="114300" cy="1143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</xdr:spPr>
    </xdr:sp>
    <xdr:clientData/>
  </xdr:twoCellAnchor>
  <xdr:twoCellAnchor>
    <xdr:from>
      <xdr:col>9</xdr:col>
      <xdr:colOff>266700</xdr:colOff>
      <xdr:row>193</xdr:row>
      <xdr:rowOff>114300</xdr:rowOff>
    </xdr:from>
    <xdr:to>
      <xdr:col>9</xdr:col>
      <xdr:colOff>266700</xdr:colOff>
      <xdr:row>197</xdr:row>
      <xdr:rowOff>152400</xdr:rowOff>
    </xdr:to>
    <xdr:sp macro="" textlink="">
      <xdr:nvSpPr>
        <xdr:cNvPr id="16909" name="Line 525"/>
        <xdr:cNvSpPr>
          <a:spLocks noChangeShapeType="1"/>
        </xdr:cNvSpPr>
      </xdr:nvSpPr>
      <xdr:spPr bwMode="auto">
        <a:xfrm>
          <a:off x="5857875" y="37661850"/>
          <a:ext cx="0" cy="78105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66675</xdr:colOff>
      <xdr:row>197</xdr:row>
      <xdr:rowOff>104775</xdr:rowOff>
    </xdr:from>
    <xdr:to>
      <xdr:col>9</xdr:col>
      <xdr:colOff>295275</xdr:colOff>
      <xdr:row>197</xdr:row>
      <xdr:rowOff>104775</xdr:rowOff>
    </xdr:to>
    <xdr:sp macro="" textlink="">
      <xdr:nvSpPr>
        <xdr:cNvPr id="16910" name="Line 526"/>
        <xdr:cNvSpPr>
          <a:spLocks noChangeShapeType="1"/>
        </xdr:cNvSpPr>
      </xdr:nvSpPr>
      <xdr:spPr bwMode="auto">
        <a:xfrm flipH="1">
          <a:off x="5657850" y="38395275"/>
          <a:ext cx="228600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197</xdr:row>
      <xdr:rowOff>85725</xdr:rowOff>
    </xdr:from>
    <xdr:to>
      <xdr:col>10</xdr:col>
      <xdr:colOff>676275</xdr:colOff>
      <xdr:row>197</xdr:row>
      <xdr:rowOff>85725</xdr:rowOff>
    </xdr:to>
    <xdr:sp macro="" textlink="">
      <xdr:nvSpPr>
        <xdr:cNvPr id="16911" name="Line 527"/>
        <xdr:cNvSpPr>
          <a:spLocks noChangeShapeType="1"/>
        </xdr:cNvSpPr>
      </xdr:nvSpPr>
      <xdr:spPr bwMode="auto">
        <a:xfrm>
          <a:off x="6010275" y="38376225"/>
          <a:ext cx="86677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466725</xdr:colOff>
      <xdr:row>190</xdr:row>
      <xdr:rowOff>0</xdr:rowOff>
    </xdr:from>
    <xdr:to>
      <xdr:col>5</xdr:col>
      <xdr:colOff>466725</xdr:colOff>
      <xdr:row>192</xdr:row>
      <xdr:rowOff>19050</xdr:rowOff>
    </xdr:to>
    <xdr:sp macro="" textlink="">
      <xdr:nvSpPr>
        <xdr:cNvPr id="16912" name="Line 528"/>
        <xdr:cNvSpPr>
          <a:spLocks noChangeShapeType="1"/>
        </xdr:cNvSpPr>
      </xdr:nvSpPr>
      <xdr:spPr bwMode="auto">
        <a:xfrm flipV="1">
          <a:off x="3171825" y="37052250"/>
          <a:ext cx="0" cy="3524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485775</xdr:colOff>
      <xdr:row>194</xdr:row>
      <xdr:rowOff>114300</xdr:rowOff>
    </xdr:from>
    <xdr:to>
      <xdr:col>5</xdr:col>
      <xdr:colOff>485775</xdr:colOff>
      <xdr:row>196</xdr:row>
      <xdr:rowOff>114300</xdr:rowOff>
    </xdr:to>
    <xdr:sp macro="" textlink="">
      <xdr:nvSpPr>
        <xdr:cNvPr id="16913" name="Line 529"/>
        <xdr:cNvSpPr>
          <a:spLocks noChangeShapeType="1"/>
        </xdr:cNvSpPr>
      </xdr:nvSpPr>
      <xdr:spPr bwMode="auto">
        <a:xfrm flipV="1">
          <a:off x="3190875" y="37823775"/>
          <a:ext cx="0" cy="38100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196</xdr:row>
      <xdr:rowOff>114300</xdr:rowOff>
    </xdr:from>
    <xdr:to>
      <xdr:col>5</xdr:col>
      <xdr:colOff>466725</xdr:colOff>
      <xdr:row>196</xdr:row>
      <xdr:rowOff>114300</xdr:rowOff>
    </xdr:to>
    <xdr:sp macro="" textlink="">
      <xdr:nvSpPr>
        <xdr:cNvPr id="16914" name="Line 530"/>
        <xdr:cNvSpPr>
          <a:spLocks noChangeShapeType="1"/>
        </xdr:cNvSpPr>
      </xdr:nvSpPr>
      <xdr:spPr bwMode="auto">
        <a:xfrm>
          <a:off x="2705100" y="38204775"/>
          <a:ext cx="46672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177</xdr:row>
      <xdr:rowOff>200025</xdr:rowOff>
    </xdr:from>
    <xdr:to>
      <xdr:col>6</xdr:col>
      <xdr:colOff>428625</xdr:colOff>
      <xdr:row>178</xdr:row>
      <xdr:rowOff>95250</xdr:rowOff>
    </xdr:to>
    <xdr:sp macro="" textlink="">
      <xdr:nvSpPr>
        <xdr:cNvPr id="16915" name="Line 531"/>
        <xdr:cNvSpPr>
          <a:spLocks noChangeShapeType="1"/>
        </xdr:cNvSpPr>
      </xdr:nvSpPr>
      <xdr:spPr bwMode="auto">
        <a:xfrm flipV="1">
          <a:off x="3752850" y="34556700"/>
          <a:ext cx="123825" cy="10477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409575</xdr:colOff>
      <xdr:row>175</xdr:row>
      <xdr:rowOff>142875</xdr:rowOff>
    </xdr:from>
    <xdr:to>
      <xdr:col>6</xdr:col>
      <xdr:colOff>476250</xdr:colOff>
      <xdr:row>176</xdr:row>
      <xdr:rowOff>133350</xdr:rowOff>
    </xdr:to>
    <xdr:sp macro="" textlink="">
      <xdr:nvSpPr>
        <xdr:cNvPr id="16916" name="Line 532"/>
        <xdr:cNvSpPr>
          <a:spLocks noChangeShapeType="1"/>
        </xdr:cNvSpPr>
      </xdr:nvSpPr>
      <xdr:spPr bwMode="auto">
        <a:xfrm>
          <a:off x="3857625" y="34128075"/>
          <a:ext cx="66675" cy="19050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247650</xdr:colOff>
      <xdr:row>175</xdr:row>
      <xdr:rowOff>161925</xdr:rowOff>
    </xdr:from>
    <xdr:to>
      <xdr:col>6</xdr:col>
      <xdr:colOff>485775</xdr:colOff>
      <xdr:row>178</xdr:row>
      <xdr:rowOff>66675</xdr:rowOff>
    </xdr:to>
    <xdr:sp macro="" textlink="">
      <xdr:nvSpPr>
        <xdr:cNvPr id="16917" name="AutoShape 533"/>
        <xdr:cNvSpPr>
          <a:spLocks noChangeArrowheads="1"/>
        </xdr:cNvSpPr>
      </xdr:nvSpPr>
      <xdr:spPr bwMode="auto">
        <a:xfrm rot="5724712">
          <a:off x="3571875" y="34270950"/>
          <a:ext cx="485775" cy="238125"/>
        </a:xfrm>
        <a:custGeom>
          <a:avLst/>
          <a:gdLst>
            <a:gd name="G0" fmla="+- 10800 0 0"/>
            <a:gd name="G1" fmla="+- 11796480 0 0"/>
            <a:gd name="G2" fmla="+- 0 0 11796480"/>
            <a:gd name="T0" fmla="*/ 0 256 1"/>
            <a:gd name="T1" fmla="*/ 180 256 1"/>
            <a:gd name="G3" fmla="+- 11796480 T0 T1"/>
            <a:gd name="T2" fmla="*/ 0 256 1"/>
            <a:gd name="T3" fmla="*/ 90 256 1"/>
            <a:gd name="G4" fmla="+- 11796480 T2 T3"/>
            <a:gd name="G5" fmla="*/ G4 2 1"/>
            <a:gd name="T4" fmla="*/ 90 256 1"/>
            <a:gd name="T5" fmla="*/ 0 256 1"/>
            <a:gd name="G6" fmla="+- 11796480 T4 T5"/>
            <a:gd name="G7" fmla="*/ G6 2 1"/>
            <a:gd name="G8" fmla="abs 11796480"/>
            <a:gd name="T6" fmla="*/ 0 256 1"/>
            <a:gd name="T7" fmla="*/ 90 256 1"/>
            <a:gd name="G9" fmla="+- G8 T6 T7"/>
            <a:gd name="G10" fmla="?: G9 G7 G5"/>
            <a:gd name="T8" fmla="*/ 0 256 1"/>
            <a:gd name="T9" fmla="*/ 360 256 1"/>
            <a:gd name="G11" fmla="+- G10 T8 T9"/>
            <a:gd name="G12" fmla="?: G10 G11 G10"/>
            <a:gd name="T10" fmla="*/ 0 256 1"/>
            <a:gd name="T11" fmla="*/ 360 256 1"/>
            <a:gd name="G13" fmla="+- G12 T10 T11"/>
            <a:gd name="G14" fmla="?: G12 G13 G12"/>
            <a:gd name="G15" fmla="+- 0 0 G14"/>
            <a:gd name="G16" fmla="+- 10800 0 0"/>
            <a:gd name="G17" fmla="+- 10800 0 10800"/>
            <a:gd name="G18" fmla="*/ 10800 1 2"/>
            <a:gd name="G19" fmla="+- G18 5400 0"/>
            <a:gd name="G20" fmla="cos G19 11796480"/>
            <a:gd name="G21" fmla="sin G19 11796480"/>
            <a:gd name="G22" fmla="+- G20 10800 0"/>
            <a:gd name="G23" fmla="+- G21 10800 0"/>
            <a:gd name="G24" fmla="+- 10800 0 G20"/>
            <a:gd name="G25" fmla="+- 10800 10800 0"/>
            <a:gd name="G26" fmla="?: G9 G17 G25"/>
            <a:gd name="G27" fmla="?: G9 0 21600"/>
            <a:gd name="G28" fmla="cos 10800 11796480"/>
            <a:gd name="G29" fmla="sin 10800 11796480"/>
            <a:gd name="G30" fmla="sin 10800 11796480"/>
            <a:gd name="G31" fmla="+- G28 10800 0"/>
            <a:gd name="G32" fmla="+- G29 10800 0"/>
            <a:gd name="G33" fmla="+- G30 10800 0"/>
            <a:gd name="G34" fmla="?: G4 0 G31"/>
            <a:gd name="G35" fmla="?: 11796480 G34 0"/>
            <a:gd name="G36" fmla="?: G6 G35 G31"/>
            <a:gd name="G37" fmla="+- 21600 0 G36"/>
            <a:gd name="G38" fmla="?: G4 0 G33"/>
            <a:gd name="G39" fmla="?: 11796480 G38 G32"/>
            <a:gd name="G40" fmla="?: G6 G39 0"/>
            <a:gd name="G41" fmla="?: G4 G32 21600"/>
            <a:gd name="G42" fmla="?: G6 G41 G33"/>
            <a:gd name="T12" fmla="*/ 10800 w 21600"/>
            <a:gd name="T13" fmla="*/ 0 h 21600"/>
            <a:gd name="T14" fmla="*/ 0 w 21600"/>
            <a:gd name="T15" fmla="*/ 10800 h 21600"/>
            <a:gd name="T16" fmla="*/ 10800 w 21600"/>
            <a:gd name="T17" fmla="*/ 0 h 21600"/>
            <a:gd name="T18" fmla="*/ 21600 w 21600"/>
            <a:gd name="T19" fmla="*/ 10800 h 21600"/>
            <a:gd name="T20" fmla="*/ G36 w 21600"/>
            <a:gd name="T21" fmla="*/ G40 h 21600"/>
            <a:gd name="T22" fmla="*/ G37 w 21600"/>
            <a:gd name="T23" fmla="*/ G42 h 21600"/>
          </a:gdLst>
          <a:ahLst/>
          <a:cxnLst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</a:cxnLst>
          <a:rect l="T20" t="T21" r="T22" b="T23"/>
          <a:pathLst>
            <a:path w="21600" h="21600">
              <a:moveTo>
                <a:pt x="0" y="10800"/>
              </a:moveTo>
              <a:cubicBezTo>
                <a:pt x="0" y="4835"/>
                <a:pt x="4835" y="0"/>
                <a:pt x="10800" y="0"/>
              </a:cubicBezTo>
              <a:cubicBezTo>
                <a:pt x="16764" y="-1"/>
                <a:pt x="21599" y="4835"/>
                <a:pt x="21600" y="10799"/>
              </a:cubicBezTo>
              <a:lnTo>
                <a:pt x="21600" y="10800"/>
              </a:lnTo>
              <a:cubicBezTo>
                <a:pt x="21600" y="4835"/>
                <a:pt x="16764" y="0"/>
                <a:pt x="10800" y="0"/>
              </a:cubicBezTo>
              <a:cubicBezTo>
                <a:pt x="4835" y="0"/>
                <a:pt x="0" y="4835"/>
                <a:pt x="0" y="10800"/>
              </a:cubicBezTo>
              <a:close/>
            </a:path>
          </a:pathLst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476250</xdr:colOff>
      <xdr:row>177</xdr:row>
      <xdr:rowOff>57150</xdr:rowOff>
    </xdr:from>
    <xdr:to>
      <xdr:col>6</xdr:col>
      <xdr:colOff>752475</xdr:colOff>
      <xdr:row>177</xdr:row>
      <xdr:rowOff>114300</xdr:rowOff>
    </xdr:to>
    <xdr:sp macro="" textlink="">
      <xdr:nvSpPr>
        <xdr:cNvPr id="16918" name="Line 534"/>
        <xdr:cNvSpPr>
          <a:spLocks noChangeShapeType="1"/>
        </xdr:cNvSpPr>
      </xdr:nvSpPr>
      <xdr:spPr bwMode="auto">
        <a:xfrm flipH="1" flipV="1">
          <a:off x="3924300" y="34413825"/>
          <a:ext cx="276225" cy="571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oval" w="med" len="med"/>
          <a:tailEnd type="oval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8</xdr:col>
      <xdr:colOff>0</xdr:colOff>
      <xdr:row>177</xdr:row>
      <xdr:rowOff>28575</xdr:rowOff>
    </xdr:from>
    <xdr:ext cx="428625" cy="215900"/>
    <xdr:sp macro="" textlink="">
      <xdr:nvSpPr>
        <xdr:cNvPr id="16919" name="Text Box 535"/>
        <xdr:cNvSpPr txBox="1">
          <a:spLocks noChangeArrowheads="1"/>
        </xdr:cNvSpPr>
      </xdr:nvSpPr>
      <xdr:spPr bwMode="auto">
        <a:xfrm>
          <a:off x="4867275" y="34385250"/>
          <a:ext cx="4286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Deg</a:t>
          </a: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</a:p>
      </xdr:txBody>
    </xdr:sp>
    <xdr:clientData/>
  </xdr:oneCellAnchor>
  <xdr:oneCellAnchor>
    <xdr:from>
      <xdr:col>4</xdr:col>
      <xdr:colOff>352425</xdr:colOff>
      <xdr:row>168</xdr:row>
      <xdr:rowOff>28575</xdr:rowOff>
    </xdr:from>
    <xdr:ext cx="171450" cy="273050"/>
    <xdr:sp macro="" textlink="">
      <xdr:nvSpPr>
        <xdr:cNvPr id="16920" name="Text Box 536"/>
        <xdr:cNvSpPr txBox="1">
          <a:spLocks noChangeArrowheads="1"/>
        </xdr:cNvSpPr>
      </xdr:nvSpPr>
      <xdr:spPr bwMode="auto">
        <a:xfrm>
          <a:off x="2438400" y="32632650"/>
          <a:ext cx="1714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oneCellAnchor>
  <xdr:oneCellAnchor>
    <xdr:from>
      <xdr:col>5</xdr:col>
      <xdr:colOff>38100</xdr:colOff>
      <xdr:row>168</xdr:row>
      <xdr:rowOff>38100</xdr:rowOff>
    </xdr:from>
    <xdr:ext cx="200025" cy="273050"/>
    <xdr:sp macro="" textlink="">
      <xdr:nvSpPr>
        <xdr:cNvPr id="16921" name="Text Box 537"/>
        <xdr:cNvSpPr txBox="1">
          <a:spLocks noChangeArrowheads="1"/>
        </xdr:cNvSpPr>
      </xdr:nvSpPr>
      <xdr:spPr bwMode="auto">
        <a:xfrm>
          <a:off x="2743200" y="32642175"/>
          <a:ext cx="2000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oneCellAnchor>
  <xdr:oneCellAnchor>
    <xdr:from>
      <xdr:col>9</xdr:col>
      <xdr:colOff>219075</xdr:colOff>
      <xdr:row>197</xdr:row>
      <xdr:rowOff>123825</xdr:rowOff>
    </xdr:from>
    <xdr:ext cx="200025" cy="276225"/>
    <xdr:sp macro="" textlink="">
      <xdr:nvSpPr>
        <xdr:cNvPr id="16922" name="Text Box 538"/>
        <xdr:cNvSpPr txBox="1">
          <a:spLocks noChangeArrowheads="1"/>
        </xdr:cNvSpPr>
      </xdr:nvSpPr>
      <xdr:spPr bwMode="auto">
        <a:xfrm>
          <a:off x="5810250" y="38414325"/>
          <a:ext cx="2000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oneCellAnchor>
  <xdr:oneCellAnchor>
    <xdr:from>
      <xdr:col>9</xdr:col>
      <xdr:colOff>523875</xdr:colOff>
      <xdr:row>197</xdr:row>
      <xdr:rowOff>142875</xdr:rowOff>
    </xdr:from>
    <xdr:ext cx="161925" cy="276225"/>
    <xdr:sp macro="" textlink="">
      <xdr:nvSpPr>
        <xdr:cNvPr id="16923" name="Text Box 539"/>
        <xdr:cNvSpPr txBox="1">
          <a:spLocks noChangeArrowheads="1"/>
        </xdr:cNvSpPr>
      </xdr:nvSpPr>
      <xdr:spPr bwMode="auto">
        <a:xfrm>
          <a:off x="6115050" y="38433375"/>
          <a:ext cx="1619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3</xdr:row>
      <xdr:rowOff>19050</xdr:rowOff>
    </xdr:from>
    <xdr:to>
      <xdr:col>4</xdr:col>
      <xdr:colOff>0</xdr:colOff>
      <xdr:row>11</xdr:row>
      <xdr:rowOff>9525</xdr:rowOff>
    </xdr:to>
    <xdr:sp macro="" textlink="">
      <xdr:nvSpPr>
        <xdr:cNvPr id="21514" name="Line 10"/>
        <xdr:cNvSpPr>
          <a:spLocks noChangeShapeType="1"/>
        </xdr:cNvSpPr>
      </xdr:nvSpPr>
      <xdr:spPr bwMode="auto">
        <a:xfrm>
          <a:off x="2419350" y="590550"/>
          <a:ext cx="0" cy="138112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11</xdr:row>
      <xdr:rowOff>9525</xdr:rowOff>
    </xdr:from>
    <xdr:to>
      <xdr:col>8</xdr:col>
      <xdr:colOff>19050</xdr:colOff>
      <xdr:row>11</xdr:row>
      <xdr:rowOff>9525</xdr:rowOff>
    </xdr:to>
    <xdr:sp macro="" textlink="">
      <xdr:nvSpPr>
        <xdr:cNvPr id="21515" name="Line 11"/>
        <xdr:cNvSpPr>
          <a:spLocks noChangeShapeType="1"/>
        </xdr:cNvSpPr>
      </xdr:nvSpPr>
      <xdr:spPr bwMode="auto">
        <a:xfrm>
          <a:off x="2419350" y="1971675"/>
          <a:ext cx="3057525" cy="0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733425</xdr:colOff>
      <xdr:row>3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1516" name="Line 12"/>
        <xdr:cNvSpPr>
          <a:spLocks noChangeShapeType="1"/>
        </xdr:cNvSpPr>
      </xdr:nvSpPr>
      <xdr:spPr bwMode="auto">
        <a:xfrm>
          <a:off x="2400300" y="571500"/>
          <a:ext cx="3057525" cy="1390650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5</xdr:col>
      <xdr:colOff>381000</xdr:colOff>
      <xdr:row>11</xdr:row>
      <xdr:rowOff>47625</xdr:rowOff>
    </xdr:from>
    <xdr:ext cx="209550" cy="266700"/>
    <xdr:sp macro="" textlink="">
      <xdr:nvSpPr>
        <xdr:cNvPr id="21517" name="Text Box 13"/>
        <xdr:cNvSpPr txBox="1">
          <a:spLocks noChangeArrowheads="1"/>
        </xdr:cNvSpPr>
      </xdr:nvSpPr>
      <xdr:spPr bwMode="auto">
        <a:xfrm>
          <a:off x="3581400" y="2009775"/>
          <a:ext cx="2095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b</a:t>
          </a:r>
        </a:p>
      </xdr:txBody>
    </xdr:sp>
    <xdr:clientData/>
  </xdr:oneCellAnchor>
  <xdr:oneCellAnchor>
    <xdr:from>
      <xdr:col>5</xdr:col>
      <xdr:colOff>561975</xdr:colOff>
      <xdr:row>5</xdr:row>
      <xdr:rowOff>19050</xdr:rowOff>
    </xdr:from>
    <xdr:ext cx="200025" cy="266700"/>
    <xdr:sp macro="" textlink="">
      <xdr:nvSpPr>
        <xdr:cNvPr id="21518" name="Text Box 14"/>
        <xdr:cNvSpPr txBox="1">
          <a:spLocks noChangeArrowheads="1"/>
        </xdr:cNvSpPr>
      </xdr:nvSpPr>
      <xdr:spPr bwMode="auto">
        <a:xfrm>
          <a:off x="3762375" y="942975"/>
          <a:ext cx="2000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a</a:t>
          </a:r>
        </a:p>
      </xdr:txBody>
    </xdr:sp>
    <xdr:clientData/>
  </xdr:oneCellAnchor>
  <xdr:oneCellAnchor>
    <xdr:from>
      <xdr:col>4</xdr:col>
      <xdr:colOff>85725</xdr:colOff>
      <xdr:row>9</xdr:row>
      <xdr:rowOff>28575</xdr:rowOff>
    </xdr:from>
    <xdr:ext cx="457200" cy="238125"/>
    <xdr:sp macro="" textlink="">
      <xdr:nvSpPr>
        <xdr:cNvPr id="21519" name="Text Box 15"/>
        <xdr:cNvSpPr txBox="1">
          <a:spLocks noChangeArrowheads="1"/>
        </xdr:cNvSpPr>
      </xdr:nvSpPr>
      <xdr:spPr bwMode="auto">
        <a:xfrm>
          <a:off x="2505075" y="1666875"/>
          <a:ext cx="457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0000FF"/>
              </a:solidFill>
              <a:latin typeface="Arial"/>
              <a:cs typeface="Arial"/>
            </a:rPr>
            <a:t>A=90</a:t>
          </a:r>
        </a:p>
      </xdr:txBody>
    </xdr:sp>
    <xdr:clientData/>
  </xdr:oneCellAnchor>
  <xdr:oneCellAnchor>
    <xdr:from>
      <xdr:col>6</xdr:col>
      <xdr:colOff>504825</xdr:colOff>
      <xdr:row>9</xdr:row>
      <xdr:rowOff>47625</xdr:rowOff>
    </xdr:from>
    <xdr:ext cx="228600" cy="266700"/>
    <xdr:sp macro="" textlink="">
      <xdr:nvSpPr>
        <xdr:cNvPr id="21520" name="Text Box 16"/>
        <xdr:cNvSpPr txBox="1">
          <a:spLocks noChangeArrowheads="1"/>
        </xdr:cNvSpPr>
      </xdr:nvSpPr>
      <xdr:spPr bwMode="auto">
        <a:xfrm>
          <a:off x="4543425" y="1685925"/>
          <a:ext cx="228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FF"/>
              </a:solidFill>
              <a:latin typeface="Arial"/>
              <a:cs typeface="Arial"/>
            </a:rPr>
            <a:t>C</a:t>
          </a:r>
        </a:p>
      </xdr:txBody>
    </xdr:sp>
    <xdr:clientData/>
  </xdr:oneCellAnchor>
  <xdr:oneCellAnchor>
    <xdr:from>
      <xdr:col>4</xdr:col>
      <xdr:colOff>85725</xdr:colOff>
      <xdr:row>4</xdr:row>
      <xdr:rowOff>76200</xdr:rowOff>
    </xdr:from>
    <xdr:ext cx="228600" cy="266700"/>
    <xdr:sp macro="" textlink="">
      <xdr:nvSpPr>
        <xdr:cNvPr id="21521" name="Text Box 17"/>
        <xdr:cNvSpPr txBox="1">
          <a:spLocks noChangeArrowheads="1"/>
        </xdr:cNvSpPr>
      </xdr:nvSpPr>
      <xdr:spPr bwMode="auto">
        <a:xfrm>
          <a:off x="2505075" y="828675"/>
          <a:ext cx="228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FF"/>
              </a:solidFill>
              <a:latin typeface="Arial"/>
              <a:cs typeface="Arial"/>
            </a:rPr>
            <a:t>B</a:t>
          </a:r>
        </a:p>
      </xdr:txBody>
    </xdr:sp>
    <xdr:clientData/>
  </xdr:oneCellAnchor>
  <xdr:twoCellAnchor editAs="oneCell">
    <xdr:from>
      <xdr:col>3</xdr:col>
      <xdr:colOff>514350</xdr:colOff>
      <xdr:row>6</xdr:row>
      <xdr:rowOff>114300</xdr:rowOff>
    </xdr:from>
    <xdr:to>
      <xdr:col>3</xdr:col>
      <xdr:colOff>676275</xdr:colOff>
      <xdr:row>7</xdr:row>
      <xdr:rowOff>190500</xdr:rowOff>
    </xdr:to>
    <xdr:sp macro="" textlink="">
      <xdr:nvSpPr>
        <xdr:cNvPr id="21522" name="Text Box 18"/>
        <xdr:cNvSpPr txBox="1">
          <a:spLocks noChangeArrowheads="1"/>
        </xdr:cNvSpPr>
      </xdr:nvSpPr>
      <xdr:spPr bwMode="auto">
        <a:xfrm>
          <a:off x="2181225" y="1200150"/>
          <a:ext cx="1619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c</a:t>
          </a:r>
        </a:p>
      </xdr:txBody>
    </xdr:sp>
    <xdr:clientData/>
  </xdr:twoCellAnchor>
  <xdr:twoCellAnchor>
    <xdr:from>
      <xdr:col>4</xdr:col>
      <xdr:colOff>676275</xdr:colOff>
      <xdr:row>37</xdr:row>
      <xdr:rowOff>104775</xdr:rowOff>
    </xdr:from>
    <xdr:to>
      <xdr:col>4</xdr:col>
      <xdr:colOff>752475</xdr:colOff>
      <xdr:row>37</xdr:row>
      <xdr:rowOff>104775</xdr:rowOff>
    </xdr:to>
    <xdr:sp macro="" textlink="">
      <xdr:nvSpPr>
        <xdr:cNvPr id="21523" name="Line 19"/>
        <xdr:cNvSpPr>
          <a:spLocks noChangeShapeType="1"/>
        </xdr:cNvSpPr>
      </xdr:nvSpPr>
      <xdr:spPr bwMode="auto">
        <a:xfrm flipH="1">
          <a:off x="3095625" y="7191375"/>
          <a:ext cx="762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34</xdr:row>
      <xdr:rowOff>104775</xdr:rowOff>
    </xdr:from>
    <xdr:to>
      <xdr:col>4</xdr:col>
      <xdr:colOff>752475</xdr:colOff>
      <xdr:row>34</xdr:row>
      <xdr:rowOff>104775</xdr:rowOff>
    </xdr:to>
    <xdr:sp macro="" textlink="">
      <xdr:nvSpPr>
        <xdr:cNvPr id="21524" name="Line 20"/>
        <xdr:cNvSpPr>
          <a:spLocks noChangeShapeType="1"/>
        </xdr:cNvSpPr>
      </xdr:nvSpPr>
      <xdr:spPr bwMode="auto">
        <a:xfrm flipH="1">
          <a:off x="3095625" y="6591300"/>
          <a:ext cx="762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31</xdr:row>
      <xdr:rowOff>104775</xdr:rowOff>
    </xdr:from>
    <xdr:to>
      <xdr:col>4</xdr:col>
      <xdr:colOff>752475</xdr:colOff>
      <xdr:row>31</xdr:row>
      <xdr:rowOff>104775</xdr:rowOff>
    </xdr:to>
    <xdr:sp macro="" textlink="">
      <xdr:nvSpPr>
        <xdr:cNvPr id="21525" name="Line 21"/>
        <xdr:cNvSpPr>
          <a:spLocks noChangeShapeType="1"/>
        </xdr:cNvSpPr>
      </xdr:nvSpPr>
      <xdr:spPr bwMode="auto">
        <a:xfrm flipH="1">
          <a:off x="3095625" y="5991225"/>
          <a:ext cx="762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34</xdr:row>
      <xdr:rowOff>104775</xdr:rowOff>
    </xdr:from>
    <xdr:to>
      <xdr:col>4</xdr:col>
      <xdr:colOff>752475</xdr:colOff>
      <xdr:row>34</xdr:row>
      <xdr:rowOff>104775</xdr:rowOff>
    </xdr:to>
    <xdr:sp macro="" textlink="">
      <xdr:nvSpPr>
        <xdr:cNvPr id="21527" name="Line 23"/>
        <xdr:cNvSpPr>
          <a:spLocks noChangeShapeType="1"/>
        </xdr:cNvSpPr>
      </xdr:nvSpPr>
      <xdr:spPr bwMode="auto">
        <a:xfrm flipH="1">
          <a:off x="3095625" y="6591300"/>
          <a:ext cx="762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31</xdr:row>
      <xdr:rowOff>104775</xdr:rowOff>
    </xdr:from>
    <xdr:to>
      <xdr:col>4</xdr:col>
      <xdr:colOff>752475</xdr:colOff>
      <xdr:row>31</xdr:row>
      <xdr:rowOff>104775</xdr:rowOff>
    </xdr:to>
    <xdr:sp macro="" textlink="">
      <xdr:nvSpPr>
        <xdr:cNvPr id="21528" name="Line 24"/>
        <xdr:cNvSpPr>
          <a:spLocks noChangeShapeType="1"/>
        </xdr:cNvSpPr>
      </xdr:nvSpPr>
      <xdr:spPr bwMode="auto">
        <a:xfrm flipH="1">
          <a:off x="3095625" y="5991225"/>
          <a:ext cx="762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28</xdr:row>
      <xdr:rowOff>104775</xdr:rowOff>
    </xdr:from>
    <xdr:to>
      <xdr:col>4</xdr:col>
      <xdr:colOff>752475</xdr:colOff>
      <xdr:row>28</xdr:row>
      <xdr:rowOff>104775</xdr:rowOff>
    </xdr:to>
    <xdr:sp macro="" textlink="">
      <xdr:nvSpPr>
        <xdr:cNvPr id="21529" name="Line 25"/>
        <xdr:cNvSpPr>
          <a:spLocks noChangeShapeType="1"/>
        </xdr:cNvSpPr>
      </xdr:nvSpPr>
      <xdr:spPr bwMode="auto">
        <a:xfrm flipH="1">
          <a:off x="3095625" y="5391150"/>
          <a:ext cx="762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25</xdr:row>
      <xdr:rowOff>104775</xdr:rowOff>
    </xdr:from>
    <xdr:to>
      <xdr:col>4</xdr:col>
      <xdr:colOff>752475</xdr:colOff>
      <xdr:row>25</xdr:row>
      <xdr:rowOff>104775</xdr:rowOff>
    </xdr:to>
    <xdr:sp macro="" textlink="">
      <xdr:nvSpPr>
        <xdr:cNvPr id="21530" name="Line 26"/>
        <xdr:cNvSpPr>
          <a:spLocks noChangeShapeType="1"/>
        </xdr:cNvSpPr>
      </xdr:nvSpPr>
      <xdr:spPr bwMode="auto">
        <a:xfrm flipH="1">
          <a:off x="3095625" y="4791075"/>
          <a:ext cx="762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22</xdr:row>
      <xdr:rowOff>104775</xdr:rowOff>
    </xdr:from>
    <xdr:to>
      <xdr:col>4</xdr:col>
      <xdr:colOff>752475</xdr:colOff>
      <xdr:row>22</xdr:row>
      <xdr:rowOff>104775</xdr:rowOff>
    </xdr:to>
    <xdr:sp macro="" textlink="">
      <xdr:nvSpPr>
        <xdr:cNvPr id="21531" name="Line 27"/>
        <xdr:cNvSpPr>
          <a:spLocks noChangeShapeType="1"/>
        </xdr:cNvSpPr>
      </xdr:nvSpPr>
      <xdr:spPr bwMode="auto">
        <a:xfrm flipH="1">
          <a:off x="3095625" y="4191000"/>
          <a:ext cx="762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19</xdr:row>
      <xdr:rowOff>104775</xdr:rowOff>
    </xdr:from>
    <xdr:to>
      <xdr:col>4</xdr:col>
      <xdr:colOff>752475</xdr:colOff>
      <xdr:row>19</xdr:row>
      <xdr:rowOff>104775</xdr:rowOff>
    </xdr:to>
    <xdr:sp macro="" textlink="">
      <xdr:nvSpPr>
        <xdr:cNvPr id="21532" name="Line 28"/>
        <xdr:cNvSpPr>
          <a:spLocks noChangeShapeType="1"/>
        </xdr:cNvSpPr>
      </xdr:nvSpPr>
      <xdr:spPr bwMode="auto">
        <a:xfrm flipH="1">
          <a:off x="3095625" y="3590925"/>
          <a:ext cx="762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16</xdr:row>
      <xdr:rowOff>104775</xdr:rowOff>
    </xdr:from>
    <xdr:to>
      <xdr:col>4</xdr:col>
      <xdr:colOff>752475</xdr:colOff>
      <xdr:row>16</xdr:row>
      <xdr:rowOff>104775</xdr:rowOff>
    </xdr:to>
    <xdr:sp macro="" textlink="">
      <xdr:nvSpPr>
        <xdr:cNvPr id="21533" name="Line 29"/>
        <xdr:cNvSpPr>
          <a:spLocks noChangeShapeType="1"/>
        </xdr:cNvSpPr>
      </xdr:nvSpPr>
      <xdr:spPr bwMode="auto">
        <a:xfrm flipH="1">
          <a:off x="3095625" y="2990850"/>
          <a:ext cx="762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419100</xdr:colOff>
      <xdr:row>37</xdr:row>
      <xdr:rowOff>104775</xdr:rowOff>
    </xdr:from>
    <xdr:to>
      <xdr:col>1</xdr:col>
      <xdr:colOff>581025</xdr:colOff>
      <xdr:row>37</xdr:row>
      <xdr:rowOff>104775</xdr:rowOff>
    </xdr:to>
    <xdr:sp macro="" textlink="">
      <xdr:nvSpPr>
        <xdr:cNvPr id="21534" name="Line 30"/>
        <xdr:cNvSpPr>
          <a:spLocks noChangeShapeType="1"/>
        </xdr:cNvSpPr>
      </xdr:nvSpPr>
      <xdr:spPr bwMode="auto">
        <a:xfrm flipH="1">
          <a:off x="752475" y="7191375"/>
          <a:ext cx="161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419100</xdr:colOff>
      <xdr:row>34</xdr:row>
      <xdr:rowOff>104775</xdr:rowOff>
    </xdr:from>
    <xdr:to>
      <xdr:col>1</xdr:col>
      <xdr:colOff>581025</xdr:colOff>
      <xdr:row>34</xdr:row>
      <xdr:rowOff>104775</xdr:rowOff>
    </xdr:to>
    <xdr:sp macro="" textlink="">
      <xdr:nvSpPr>
        <xdr:cNvPr id="21535" name="Line 31"/>
        <xdr:cNvSpPr>
          <a:spLocks noChangeShapeType="1"/>
        </xdr:cNvSpPr>
      </xdr:nvSpPr>
      <xdr:spPr bwMode="auto">
        <a:xfrm flipH="1">
          <a:off x="752475" y="6591300"/>
          <a:ext cx="161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419100</xdr:colOff>
      <xdr:row>31</xdr:row>
      <xdr:rowOff>104775</xdr:rowOff>
    </xdr:from>
    <xdr:to>
      <xdr:col>1</xdr:col>
      <xdr:colOff>581025</xdr:colOff>
      <xdr:row>31</xdr:row>
      <xdr:rowOff>104775</xdr:rowOff>
    </xdr:to>
    <xdr:sp macro="" textlink="">
      <xdr:nvSpPr>
        <xdr:cNvPr id="21536" name="Line 32"/>
        <xdr:cNvSpPr>
          <a:spLocks noChangeShapeType="1"/>
        </xdr:cNvSpPr>
      </xdr:nvSpPr>
      <xdr:spPr bwMode="auto">
        <a:xfrm flipH="1">
          <a:off x="752475" y="5991225"/>
          <a:ext cx="161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419100</xdr:colOff>
      <xdr:row>28</xdr:row>
      <xdr:rowOff>104775</xdr:rowOff>
    </xdr:from>
    <xdr:to>
      <xdr:col>1</xdr:col>
      <xdr:colOff>581025</xdr:colOff>
      <xdr:row>28</xdr:row>
      <xdr:rowOff>104775</xdr:rowOff>
    </xdr:to>
    <xdr:sp macro="" textlink="">
      <xdr:nvSpPr>
        <xdr:cNvPr id="21537" name="Line 33"/>
        <xdr:cNvSpPr>
          <a:spLocks noChangeShapeType="1"/>
        </xdr:cNvSpPr>
      </xdr:nvSpPr>
      <xdr:spPr bwMode="auto">
        <a:xfrm flipH="1">
          <a:off x="752475" y="5391150"/>
          <a:ext cx="161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419100</xdr:colOff>
      <xdr:row>25</xdr:row>
      <xdr:rowOff>104775</xdr:rowOff>
    </xdr:from>
    <xdr:to>
      <xdr:col>1</xdr:col>
      <xdr:colOff>581025</xdr:colOff>
      <xdr:row>25</xdr:row>
      <xdr:rowOff>104775</xdr:rowOff>
    </xdr:to>
    <xdr:sp macro="" textlink="">
      <xdr:nvSpPr>
        <xdr:cNvPr id="21538" name="Line 34"/>
        <xdr:cNvSpPr>
          <a:spLocks noChangeShapeType="1"/>
        </xdr:cNvSpPr>
      </xdr:nvSpPr>
      <xdr:spPr bwMode="auto">
        <a:xfrm flipH="1">
          <a:off x="752475" y="4791075"/>
          <a:ext cx="161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419100</xdr:colOff>
      <xdr:row>22</xdr:row>
      <xdr:rowOff>104775</xdr:rowOff>
    </xdr:from>
    <xdr:to>
      <xdr:col>1</xdr:col>
      <xdr:colOff>581025</xdr:colOff>
      <xdr:row>22</xdr:row>
      <xdr:rowOff>104775</xdr:rowOff>
    </xdr:to>
    <xdr:sp macro="" textlink="">
      <xdr:nvSpPr>
        <xdr:cNvPr id="21539" name="Line 35"/>
        <xdr:cNvSpPr>
          <a:spLocks noChangeShapeType="1"/>
        </xdr:cNvSpPr>
      </xdr:nvSpPr>
      <xdr:spPr bwMode="auto">
        <a:xfrm flipH="1">
          <a:off x="752475" y="4191000"/>
          <a:ext cx="161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419100</xdr:colOff>
      <xdr:row>19</xdr:row>
      <xdr:rowOff>104775</xdr:rowOff>
    </xdr:from>
    <xdr:to>
      <xdr:col>1</xdr:col>
      <xdr:colOff>581025</xdr:colOff>
      <xdr:row>19</xdr:row>
      <xdr:rowOff>104775</xdr:rowOff>
    </xdr:to>
    <xdr:sp macro="" textlink="">
      <xdr:nvSpPr>
        <xdr:cNvPr id="21540" name="Line 36"/>
        <xdr:cNvSpPr>
          <a:spLocks noChangeShapeType="1"/>
        </xdr:cNvSpPr>
      </xdr:nvSpPr>
      <xdr:spPr bwMode="auto">
        <a:xfrm flipH="1">
          <a:off x="752475" y="3590925"/>
          <a:ext cx="161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419100</xdr:colOff>
      <xdr:row>16</xdr:row>
      <xdr:rowOff>104775</xdr:rowOff>
    </xdr:from>
    <xdr:to>
      <xdr:col>1</xdr:col>
      <xdr:colOff>581025</xdr:colOff>
      <xdr:row>16</xdr:row>
      <xdr:rowOff>104775</xdr:rowOff>
    </xdr:to>
    <xdr:sp macro="" textlink="">
      <xdr:nvSpPr>
        <xdr:cNvPr id="21541" name="Line 37"/>
        <xdr:cNvSpPr>
          <a:spLocks noChangeShapeType="1"/>
        </xdr:cNvSpPr>
      </xdr:nvSpPr>
      <xdr:spPr bwMode="auto">
        <a:xfrm flipH="1">
          <a:off x="752475" y="2990850"/>
          <a:ext cx="161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40</xdr:row>
      <xdr:rowOff>104775</xdr:rowOff>
    </xdr:from>
    <xdr:to>
      <xdr:col>4</xdr:col>
      <xdr:colOff>752475</xdr:colOff>
      <xdr:row>40</xdr:row>
      <xdr:rowOff>104775</xdr:rowOff>
    </xdr:to>
    <xdr:sp macro="" textlink="">
      <xdr:nvSpPr>
        <xdr:cNvPr id="21542" name="Line 38"/>
        <xdr:cNvSpPr>
          <a:spLocks noChangeShapeType="1"/>
        </xdr:cNvSpPr>
      </xdr:nvSpPr>
      <xdr:spPr bwMode="auto">
        <a:xfrm flipH="1">
          <a:off x="3095625" y="7791450"/>
          <a:ext cx="762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419100</xdr:colOff>
      <xdr:row>40</xdr:row>
      <xdr:rowOff>104775</xdr:rowOff>
    </xdr:from>
    <xdr:to>
      <xdr:col>1</xdr:col>
      <xdr:colOff>581025</xdr:colOff>
      <xdr:row>40</xdr:row>
      <xdr:rowOff>104775</xdr:rowOff>
    </xdr:to>
    <xdr:sp macro="" textlink="">
      <xdr:nvSpPr>
        <xdr:cNvPr id="21543" name="Line 39"/>
        <xdr:cNvSpPr>
          <a:spLocks noChangeShapeType="1"/>
        </xdr:cNvSpPr>
      </xdr:nvSpPr>
      <xdr:spPr bwMode="auto">
        <a:xfrm flipH="1">
          <a:off x="752475" y="7791450"/>
          <a:ext cx="161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628650</xdr:colOff>
      <xdr:row>3</xdr:row>
      <xdr:rowOff>104775</xdr:rowOff>
    </xdr:from>
    <xdr:to>
      <xdr:col>9</xdr:col>
      <xdr:colOff>9525</xdr:colOff>
      <xdr:row>3</xdr:row>
      <xdr:rowOff>104775</xdr:rowOff>
    </xdr:to>
    <xdr:sp macro="" textlink="">
      <xdr:nvSpPr>
        <xdr:cNvPr id="21544" name="Line 40"/>
        <xdr:cNvSpPr>
          <a:spLocks noChangeShapeType="1"/>
        </xdr:cNvSpPr>
      </xdr:nvSpPr>
      <xdr:spPr bwMode="auto">
        <a:xfrm flipH="1">
          <a:off x="6086475" y="676275"/>
          <a:ext cx="476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495300</xdr:colOff>
      <xdr:row>1</xdr:row>
      <xdr:rowOff>19050</xdr:rowOff>
    </xdr:from>
    <xdr:to>
      <xdr:col>5</xdr:col>
      <xdr:colOff>180975</xdr:colOff>
      <xdr:row>9</xdr:row>
      <xdr:rowOff>19050</xdr:rowOff>
    </xdr:to>
    <xdr:sp macro="" textlink="">
      <xdr:nvSpPr>
        <xdr:cNvPr id="22529" name="Line 1"/>
        <xdr:cNvSpPr>
          <a:spLocks noChangeShapeType="1"/>
        </xdr:cNvSpPr>
      </xdr:nvSpPr>
      <xdr:spPr bwMode="auto">
        <a:xfrm flipH="1">
          <a:off x="2552700" y="180975"/>
          <a:ext cx="1181100" cy="1485900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171450</xdr:colOff>
      <xdr:row>1</xdr:row>
      <xdr:rowOff>9525</xdr:rowOff>
    </xdr:from>
    <xdr:to>
      <xdr:col>8</xdr:col>
      <xdr:colOff>0</xdr:colOff>
      <xdr:row>8</xdr:row>
      <xdr:rowOff>142875</xdr:rowOff>
    </xdr:to>
    <xdr:sp macro="" textlink="">
      <xdr:nvSpPr>
        <xdr:cNvPr id="22530" name="Line 2"/>
        <xdr:cNvSpPr>
          <a:spLocks noChangeShapeType="1"/>
        </xdr:cNvSpPr>
      </xdr:nvSpPr>
      <xdr:spPr bwMode="auto">
        <a:xfrm>
          <a:off x="3724275" y="171450"/>
          <a:ext cx="2305050" cy="145732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523875</xdr:colOff>
      <xdr:row>9</xdr:row>
      <xdr:rowOff>9525</xdr:rowOff>
    </xdr:from>
    <xdr:to>
      <xdr:col>8</xdr:col>
      <xdr:colOff>9525</xdr:colOff>
      <xdr:row>9</xdr:row>
      <xdr:rowOff>9525</xdr:rowOff>
    </xdr:to>
    <xdr:sp macro="" textlink="">
      <xdr:nvSpPr>
        <xdr:cNvPr id="22531" name="Line 3"/>
        <xdr:cNvSpPr>
          <a:spLocks noChangeShapeType="1"/>
        </xdr:cNvSpPr>
      </xdr:nvSpPr>
      <xdr:spPr bwMode="auto">
        <a:xfrm>
          <a:off x="2581275" y="1657350"/>
          <a:ext cx="3457575" cy="0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6</xdr:col>
      <xdr:colOff>361950</xdr:colOff>
      <xdr:row>3</xdr:row>
      <xdr:rowOff>76200</xdr:rowOff>
    </xdr:from>
    <xdr:ext cx="200025" cy="266700"/>
    <xdr:sp macro="" textlink="">
      <xdr:nvSpPr>
        <xdr:cNvPr id="22532" name="Text Box 4"/>
        <xdr:cNvSpPr txBox="1">
          <a:spLocks noChangeArrowheads="1"/>
        </xdr:cNvSpPr>
      </xdr:nvSpPr>
      <xdr:spPr bwMode="auto">
        <a:xfrm>
          <a:off x="4819650" y="590550"/>
          <a:ext cx="2000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c</a:t>
          </a:r>
        </a:p>
      </xdr:txBody>
    </xdr:sp>
    <xdr:clientData/>
  </xdr:oneCellAnchor>
  <xdr:oneCellAnchor>
    <xdr:from>
      <xdr:col>5</xdr:col>
      <xdr:colOff>485775</xdr:colOff>
      <xdr:row>9</xdr:row>
      <xdr:rowOff>28575</xdr:rowOff>
    </xdr:from>
    <xdr:ext cx="200025" cy="266700"/>
    <xdr:sp macro="" textlink="">
      <xdr:nvSpPr>
        <xdr:cNvPr id="22533" name="Text Box 5"/>
        <xdr:cNvSpPr txBox="1">
          <a:spLocks noChangeArrowheads="1"/>
        </xdr:cNvSpPr>
      </xdr:nvSpPr>
      <xdr:spPr bwMode="auto">
        <a:xfrm>
          <a:off x="4038600" y="1676400"/>
          <a:ext cx="2000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a</a:t>
          </a:r>
        </a:p>
      </xdr:txBody>
    </xdr:sp>
    <xdr:clientData/>
  </xdr:oneCellAnchor>
  <xdr:oneCellAnchor>
    <xdr:from>
      <xdr:col>4</xdr:col>
      <xdr:colOff>171450</xdr:colOff>
      <xdr:row>3</xdr:row>
      <xdr:rowOff>123825</xdr:rowOff>
    </xdr:from>
    <xdr:ext cx="209550" cy="266700"/>
    <xdr:sp macro="" textlink="">
      <xdr:nvSpPr>
        <xdr:cNvPr id="22534" name="Text Box 6"/>
        <xdr:cNvSpPr txBox="1">
          <a:spLocks noChangeArrowheads="1"/>
        </xdr:cNvSpPr>
      </xdr:nvSpPr>
      <xdr:spPr bwMode="auto">
        <a:xfrm>
          <a:off x="2962275" y="638175"/>
          <a:ext cx="2095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b</a:t>
          </a:r>
        </a:p>
      </xdr:txBody>
    </xdr:sp>
    <xdr:clientData/>
  </xdr:oneCellAnchor>
  <xdr:oneCellAnchor>
    <xdr:from>
      <xdr:col>5</xdr:col>
      <xdr:colOff>114300</xdr:colOff>
      <xdr:row>2</xdr:row>
      <xdr:rowOff>0</xdr:rowOff>
    </xdr:from>
    <xdr:ext cx="219075" cy="266700"/>
    <xdr:sp macro="" textlink="">
      <xdr:nvSpPr>
        <xdr:cNvPr id="22535" name="Text Box 7"/>
        <xdr:cNvSpPr txBox="1">
          <a:spLocks noChangeArrowheads="1"/>
        </xdr:cNvSpPr>
      </xdr:nvSpPr>
      <xdr:spPr bwMode="auto">
        <a:xfrm>
          <a:off x="3667125" y="352425"/>
          <a:ext cx="2190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FF"/>
              </a:solidFill>
              <a:latin typeface="Arial"/>
              <a:cs typeface="Arial"/>
            </a:rPr>
            <a:t>A</a:t>
          </a:r>
        </a:p>
      </xdr:txBody>
    </xdr:sp>
    <xdr:clientData/>
  </xdr:oneCellAnchor>
  <xdr:oneCellAnchor>
    <xdr:from>
      <xdr:col>4</xdr:col>
      <xdr:colOff>66675</xdr:colOff>
      <xdr:row>7</xdr:row>
      <xdr:rowOff>66675</xdr:rowOff>
    </xdr:from>
    <xdr:ext cx="228600" cy="266700"/>
    <xdr:sp macro="" textlink="">
      <xdr:nvSpPr>
        <xdr:cNvPr id="22536" name="Text Box 8"/>
        <xdr:cNvSpPr txBox="1">
          <a:spLocks noChangeArrowheads="1"/>
        </xdr:cNvSpPr>
      </xdr:nvSpPr>
      <xdr:spPr bwMode="auto">
        <a:xfrm>
          <a:off x="2857500" y="1390650"/>
          <a:ext cx="228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FF"/>
              </a:solidFill>
              <a:latin typeface="Arial"/>
              <a:cs typeface="Arial"/>
            </a:rPr>
            <a:t>C</a:t>
          </a:r>
        </a:p>
      </xdr:txBody>
    </xdr:sp>
    <xdr:clientData/>
  </xdr:oneCellAnchor>
  <xdr:oneCellAnchor>
    <xdr:from>
      <xdr:col>7</xdr:col>
      <xdr:colOff>19050</xdr:colOff>
      <xdr:row>7</xdr:row>
      <xdr:rowOff>66675</xdr:rowOff>
    </xdr:from>
    <xdr:ext cx="228600" cy="266700"/>
    <xdr:sp macro="" textlink="">
      <xdr:nvSpPr>
        <xdr:cNvPr id="22537" name="Text Box 9"/>
        <xdr:cNvSpPr txBox="1">
          <a:spLocks noChangeArrowheads="1"/>
        </xdr:cNvSpPr>
      </xdr:nvSpPr>
      <xdr:spPr bwMode="auto">
        <a:xfrm>
          <a:off x="5267325" y="1390650"/>
          <a:ext cx="228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FF"/>
              </a:solidFill>
              <a:latin typeface="Arial"/>
              <a:cs typeface="Arial"/>
            </a:rPr>
            <a:t>B</a:t>
          </a:r>
        </a:p>
      </xdr:txBody>
    </xdr:sp>
    <xdr:clientData/>
  </xdr:oneCellAnchor>
  <xdr:twoCellAnchor>
    <xdr:from>
      <xdr:col>0</xdr:col>
      <xdr:colOff>419100</xdr:colOff>
      <xdr:row>15</xdr:row>
      <xdr:rowOff>104775</xdr:rowOff>
    </xdr:from>
    <xdr:to>
      <xdr:col>0</xdr:col>
      <xdr:colOff>581025</xdr:colOff>
      <xdr:row>15</xdr:row>
      <xdr:rowOff>104775</xdr:rowOff>
    </xdr:to>
    <xdr:sp macro="" textlink="">
      <xdr:nvSpPr>
        <xdr:cNvPr id="22538" name="Line 10"/>
        <xdr:cNvSpPr>
          <a:spLocks noChangeShapeType="1"/>
        </xdr:cNvSpPr>
      </xdr:nvSpPr>
      <xdr:spPr bwMode="auto">
        <a:xfrm flipH="1">
          <a:off x="419100" y="2838450"/>
          <a:ext cx="161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15</xdr:row>
      <xdr:rowOff>104775</xdr:rowOff>
    </xdr:from>
    <xdr:to>
      <xdr:col>4</xdr:col>
      <xdr:colOff>752475</xdr:colOff>
      <xdr:row>15</xdr:row>
      <xdr:rowOff>104775</xdr:rowOff>
    </xdr:to>
    <xdr:sp macro="" textlink="">
      <xdr:nvSpPr>
        <xdr:cNvPr id="22539" name="Line 11"/>
        <xdr:cNvSpPr>
          <a:spLocks noChangeShapeType="1"/>
        </xdr:cNvSpPr>
      </xdr:nvSpPr>
      <xdr:spPr bwMode="auto">
        <a:xfrm flipH="1">
          <a:off x="3467100" y="2838450"/>
          <a:ext cx="762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419100</xdr:colOff>
      <xdr:row>18</xdr:row>
      <xdr:rowOff>104775</xdr:rowOff>
    </xdr:from>
    <xdr:to>
      <xdr:col>0</xdr:col>
      <xdr:colOff>581025</xdr:colOff>
      <xdr:row>18</xdr:row>
      <xdr:rowOff>104775</xdr:rowOff>
    </xdr:to>
    <xdr:sp macro="" textlink="">
      <xdr:nvSpPr>
        <xdr:cNvPr id="22540" name="Line 12"/>
        <xdr:cNvSpPr>
          <a:spLocks noChangeShapeType="1"/>
        </xdr:cNvSpPr>
      </xdr:nvSpPr>
      <xdr:spPr bwMode="auto">
        <a:xfrm flipH="1">
          <a:off x="419100" y="3476625"/>
          <a:ext cx="161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18</xdr:row>
      <xdr:rowOff>104775</xdr:rowOff>
    </xdr:from>
    <xdr:to>
      <xdr:col>4</xdr:col>
      <xdr:colOff>752475</xdr:colOff>
      <xdr:row>18</xdr:row>
      <xdr:rowOff>104775</xdr:rowOff>
    </xdr:to>
    <xdr:sp macro="" textlink="">
      <xdr:nvSpPr>
        <xdr:cNvPr id="22541" name="Line 13"/>
        <xdr:cNvSpPr>
          <a:spLocks noChangeShapeType="1"/>
        </xdr:cNvSpPr>
      </xdr:nvSpPr>
      <xdr:spPr bwMode="auto">
        <a:xfrm flipH="1">
          <a:off x="3467100" y="3476625"/>
          <a:ext cx="762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419100</xdr:colOff>
      <xdr:row>21</xdr:row>
      <xdr:rowOff>104775</xdr:rowOff>
    </xdr:from>
    <xdr:to>
      <xdr:col>0</xdr:col>
      <xdr:colOff>581025</xdr:colOff>
      <xdr:row>21</xdr:row>
      <xdr:rowOff>104775</xdr:rowOff>
    </xdr:to>
    <xdr:sp macro="" textlink="">
      <xdr:nvSpPr>
        <xdr:cNvPr id="22542" name="Line 14"/>
        <xdr:cNvSpPr>
          <a:spLocks noChangeShapeType="1"/>
        </xdr:cNvSpPr>
      </xdr:nvSpPr>
      <xdr:spPr bwMode="auto">
        <a:xfrm flipH="1">
          <a:off x="419100" y="4114800"/>
          <a:ext cx="161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21</xdr:row>
      <xdr:rowOff>104775</xdr:rowOff>
    </xdr:from>
    <xdr:to>
      <xdr:col>4</xdr:col>
      <xdr:colOff>752475</xdr:colOff>
      <xdr:row>21</xdr:row>
      <xdr:rowOff>104775</xdr:rowOff>
    </xdr:to>
    <xdr:sp macro="" textlink="">
      <xdr:nvSpPr>
        <xdr:cNvPr id="22543" name="Line 15"/>
        <xdr:cNvSpPr>
          <a:spLocks noChangeShapeType="1"/>
        </xdr:cNvSpPr>
      </xdr:nvSpPr>
      <xdr:spPr bwMode="auto">
        <a:xfrm flipH="1">
          <a:off x="3467100" y="4114800"/>
          <a:ext cx="762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419100</xdr:colOff>
      <xdr:row>24</xdr:row>
      <xdr:rowOff>104775</xdr:rowOff>
    </xdr:from>
    <xdr:to>
      <xdr:col>0</xdr:col>
      <xdr:colOff>581025</xdr:colOff>
      <xdr:row>24</xdr:row>
      <xdr:rowOff>104775</xdr:rowOff>
    </xdr:to>
    <xdr:sp macro="" textlink="">
      <xdr:nvSpPr>
        <xdr:cNvPr id="22544" name="Line 16"/>
        <xdr:cNvSpPr>
          <a:spLocks noChangeShapeType="1"/>
        </xdr:cNvSpPr>
      </xdr:nvSpPr>
      <xdr:spPr bwMode="auto">
        <a:xfrm flipH="1">
          <a:off x="419100" y="4752975"/>
          <a:ext cx="161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24</xdr:row>
      <xdr:rowOff>104775</xdr:rowOff>
    </xdr:from>
    <xdr:to>
      <xdr:col>4</xdr:col>
      <xdr:colOff>752475</xdr:colOff>
      <xdr:row>24</xdr:row>
      <xdr:rowOff>104775</xdr:rowOff>
    </xdr:to>
    <xdr:sp macro="" textlink="">
      <xdr:nvSpPr>
        <xdr:cNvPr id="22545" name="Line 17"/>
        <xdr:cNvSpPr>
          <a:spLocks noChangeShapeType="1"/>
        </xdr:cNvSpPr>
      </xdr:nvSpPr>
      <xdr:spPr bwMode="auto">
        <a:xfrm flipH="1">
          <a:off x="3467100" y="4752975"/>
          <a:ext cx="762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419100</xdr:colOff>
      <xdr:row>28</xdr:row>
      <xdr:rowOff>104775</xdr:rowOff>
    </xdr:from>
    <xdr:to>
      <xdr:col>0</xdr:col>
      <xdr:colOff>581025</xdr:colOff>
      <xdr:row>28</xdr:row>
      <xdr:rowOff>104775</xdr:rowOff>
    </xdr:to>
    <xdr:sp macro="" textlink="">
      <xdr:nvSpPr>
        <xdr:cNvPr id="22546" name="Line 18"/>
        <xdr:cNvSpPr>
          <a:spLocks noChangeShapeType="1"/>
        </xdr:cNvSpPr>
      </xdr:nvSpPr>
      <xdr:spPr bwMode="auto">
        <a:xfrm flipH="1">
          <a:off x="419100" y="5610225"/>
          <a:ext cx="161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28</xdr:row>
      <xdr:rowOff>104775</xdr:rowOff>
    </xdr:from>
    <xdr:to>
      <xdr:col>4</xdr:col>
      <xdr:colOff>752475</xdr:colOff>
      <xdr:row>28</xdr:row>
      <xdr:rowOff>104775</xdr:rowOff>
    </xdr:to>
    <xdr:sp macro="" textlink="">
      <xdr:nvSpPr>
        <xdr:cNvPr id="22547" name="Line 19"/>
        <xdr:cNvSpPr>
          <a:spLocks noChangeShapeType="1"/>
        </xdr:cNvSpPr>
      </xdr:nvSpPr>
      <xdr:spPr bwMode="auto">
        <a:xfrm flipH="1">
          <a:off x="3467100" y="5610225"/>
          <a:ext cx="762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419100</xdr:colOff>
      <xdr:row>31</xdr:row>
      <xdr:rowOff>104775</xdr:rowOff>
    </xdr:from>
    <xdr:to>
      <xdr:col>0</xdr:col>
      <xdr:colOff>581025</xdr:colOff>
      <xdr:row>31</xdr:row>
      <xdr:rowOff>104775</xdr:rowOff>
    </xdr:to>
    <xdr:sp macro="" textlink="">
      <xdr:nvSpPr>
        <xdr:cNvPr id="22548" name="Line 20"/>
        <xdr:cNvSpPr>
          <a:spLocks noChangeShapeType="1"/>
        </xdr:cNvSpPr>
      </xdr:nvSpPr>
      <xdr:spPr bwMode="auto">
        <a:xfrm flipH="1">
          <a:off x="419100" y="6248400"/>
          <a:ext cx="161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31</xdr:row>
      <xdr:rowOff>104775</xdr:rowOff>
    </xdr:from>
    <xdr:to>
      <xdr:col>4</xdr:col>
      <xdr:colOff>752475</xdr:colOff>
      <xdr:row>31</xdr:row>
      <xdr:rowOff>104775</xdr:rowOff>
    </xdr:to>
    <xdr:sp macro="" textlink="">
      <xdr:nvSpPr>
        <xdr:cNvPr id="22549" name="Line 21"/>
        <xdr:cNvSpPr>
          <a:spLocks noChangeShapeType="1"/>
        </xdr:cNvSpPr>
      </xdr:nvSpPr>
      <xdr:spPr bwMode="auto">
        <a:xfrm flipH="1">
          <a:off x="3467100" y="6248400"/>
          <a:ext cx="762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628650</xdr:colOff>
      <xdr:row>4</xdr:row>
      <xdr:rowOff>104775</xdr:rowOff>
    </xdr:from>
    <xdr:to>
      <xdr:col>8</xdr:col>
      <xdr:colOff>9525</xdr:colOff>
      <xdr:row>4</xdr:row>
      <xdr:rowOff>104775</xdr:rowOff>
    </xdr:to>
    <xdr:sp macro="" textlink="">
      <xdr:nvSpPr>
        <xdr:cNvPr id="22550" name="Line 22"/>
        <xdr:cNvSpPr>
          <a:spLocks noChangeShapeType="1"/>
        </xdr:cNvSpPr>
      </xdr:nvSpPr>
      <xdr:spPr bwMode="auto">
        <a:xfrm flipH="1">
          <a:off x="5876925" y="885825"/>
          <a:ext cx="161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1</xdr:row>
      <xdr:rowOff>85725</xdr:rowOff>
    </xdr:from>
    <xdr:to>
      <xdr:col>1</xdr:col>
      <xdr:colOff>704850</xdr:colOff>
      <xdr:row>2</xdr:row>
      <xdr:rowOff>152400</xdr:rowOff>
    </xdr:to>
    <xdr:sp macro="" textlink="">
      <xdr:nvSpPr>
        <xdr:cNvPr id="34817" name="Text Box 1"/>
        <xdr:cNvSpPr txBox="1">
          <a:spLocks noChangeArrowheads="1"/>
        </xdr:cNvSpPr>
      </xdr:nvSpPr>
      <xdr:spPr bwMode="auto">
        <a:xfrm>
          <a:off x="428625" y="295275"/>
          <a:ext cx="457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Total</a:t>
          </a:r>
        </a:p>
      </xdr:txBody>
    </xdr:sp>
    <xdr:clientData/>
  </xdr:twoCellAnchor>
  <xdr:twoCellAnchor editAs="oneCell">
    <xdr:from>
      <xdr:col>13</xdr:col>
      <xdr:colOff>57150</xdr:colOff>
      <xdr:row>1</xdr:row>
      <xdr:rowOff>47625</xdr:rowOff>
    </xdr:from>
    <xdr:to>
      <xdr:col>13</xdr:col>
      <xdr:colOff>514350</xdr:colOff>
      <xdr:row>2</xdr:row>
      <xdr:rowOff>114300</xdr:rowOff>
    </xdr:to>
    <xdr:sp macro="" textlink="">
      <xdr:nvSpPr>
        <xdr:cNvPr id="34818" name="Text Box 2"/>
        <xdr:cNvSpPr txBox="1">
          <a:spLocks noChangeArrowheads="1"/>
        </xdr:cNvSpPr>
      </xdr:nvSpPr>
      <xdr:spPr bwMode="auto">
        <a:xfrm>
          <a:off x="6162675" y="257175"/>
          <a:ext cx="457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Total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600075</xdr:colOff>
      <xdr:row>5</xdr:row>
      <xdr:rowOff>152400</xdr:rowOff>
    </xdr:from>
    <xdr:to>
      <xdr:col>4</xdr:col>
      <xdr:colOff>9525</xdr:colOff>
      <xdr:row>7</xdr:row>
      <xdr:rowOff>0</xdr:rowOff>
    </xdr:to>
    <xdr:sp macro="" textlink="">
      <xdr:nvSpPr>
        <xdr:cNvPr id="35841" name="Rectangle 1"/>
        <xdr:cNvSpPr>
          <a:spLocks noChangeArrowheads="1"/>
        </xdr:cNvSpPr>
      </xdr:nvSpPr>
      <xdr:spPr bwMode="auto">
        <a:xfrm>
          <a:off x="1209675" y="1038225"/>
          <a:ext cx="1238250" cy="1714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600075</xdr:colOff>
      <xdr:row>15</xdr:row>
      <xdr:rowOff>0</xdr:rowOff>
    </xdr:from>
    <xdr:to>
      <xdr:col>4</xdr:col>
      <xdr:colOff>9525</xdr:colOff>
      <xdr:row>16</xdr:row>
      <xdr:rowOff>9525</xdr:rowOff>
    </xdr:to>
    <xdr:sp macro="" textlink="">
      <xdr:nvSpPr>
        <xdr:cNvPr id="35842" name="Rectangle 2"/>
        <xdr:cNvSpPr>
          <a:spLocks noChangeArrowheads="1"/>
        </xdr:cNvSpPr>
      </xdr:nvSpPr>
      <xdr:spPr bwMode="auto">
        <a:xfrm>
          <a:off x="1209675" y="2505075"/>
          <a:ext cx="1238250" cy="1714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428625</xdr:colOff>
      <xdr:row>5</xdr:row>
      <xdr:rowOff>152400</xdr:rowOff>
    </xdr:from>
    <xdr:to>
      <xdr:col>2</xdr:col>
      <xdr:colOff>0</xdr:colOff>
      <xdr:row>16</xdr:row>
      <xdr:rowOff>9525</xdr:rowOff>
    </xdr:to>
    <xdr:sp macro="" textlink="">
      <xdr:nvSpPr>
        <xdr:cNvPr id="35843" name="Rectangle 3"/>
        <xdr:cNvSpPr>
          <a:spLocks noChangeArrowheads="1"/>
        </xdr:cNvSpPr>
      </xdr:nvSpPr>
      <xdr:spPr bwMode="auto">
        <a:xfrm>
          <a:off x="1038225" y="1038225"/>
          <a:ext cx="180975" cy="16383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9525</xdr:colOff>
      <xdr:row>5</xdr:row>
      <xdr:rowOff>152400</xdr:rowOff>
    </xdr:from>
    <xdr:to>
      <xdr:col>4</xdr:col>
      <xdr:colOff>190500</xdr:colOff>
      <xdr:row>16</xdr:row>
      <xdr:rowOff>9525</xdr:rowOff>
    </xdr:to>
    <xdr:sp macro="" textlink="">
      <xdr:nvSpPr>
        <xdr:cNvPr id="35844" name="Rectangle 4"/>
        <xdr:cNvSpPr>
          <a:spLocks noChangeArrowheads="1"/>
        </xdr:cNvSpPr>
      </xdr:nvSpPr>
      <xdr:spPr bwMode="auto">
        <a:xfrm>
          <a:off x="2447925" y="1038225"/>
          <a:ext cx="180975" cy="16383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409575</xdr:colOff>
      <xdr:row>16</xdr:row>
      <xdr:rowOff>133350</xdr:rowOff>
    </xdr:from>
    <xdr:to>
      <xdr:col>5</xdr:col>
      <xdr:colOff>600075</xdr:colOff>
      <xdr:row>16</xdr:row>
      <xdr:rowOff>142875</xdr:rowOff>
    </xdr:to>
    <xdr:sp macro="" textlink="">
      <xdr:nvSpPr>
        <xdr:cNvPr id="35845" name="Line 5"/>
        <xdr:cNvSpPr>
          <a:spLocks noChangeShapeType="1"/>
        </xdr:cNvSpPr>
      </xdr:nvSpPr>
      <xdr:spPr bwMode="auto">
        <a:xfrm>
          <a:off x="1019175" y="2800350"/>
          <a:ext cx="2628900" cy="952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prstDash val="dash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314325</xdr:colOff>
      <xdr:row>8</xdr:row>
      <xdr:rowOff>19050</xdr:rowOff>
    </xdr:from>
    <xdr:to>
      <xdr:col>2</xdr:col>
      <xdr:colOff>342900</xdr:colOff>
      <xdr:row>8</xdr:row>
      <xdr:rowOff>142875</xdr:rowOff>
    </xdr:to>
    <xdr:sp macro="" textlink="">
      <xdr:nvSpPr>
        <xdr:cNvPr id="35846" name="Rectangle 6"/>
        <xdr:cNvSpPr>
          <a:spLocks noChangeArrowheads="1"/>
        </xdr:cNvSpPr>
      </xdr:nvSpPr>
      <xdr:spPr bwMode="auto">
        <a:xfrm>
          <a:off x="1533525" y="1390650"/>
          <a:ext cx="28575" cy="1238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8575">
          <a:solidFill>
            <a:srgbClr xmlns:mc="http://schemas.openxmlformats.org/markup-compatibility/2006" xmlns:a14="http://schemas.microsoft.com/office/drawing/2010/main" val="FF6600" mc:Ignorable="a14" a14:legacySpreadsheetColorIndex="53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219075</xdr:colOff>
      <xdr:row>8</xdr:row>
      <xdr:rowOff>19050</xdr:rowOff>
    </xdr:from>
    <xdr:to>
      <xdr:col>3</xdr:col>
      <xdr:colOff>247650</xdr:colOff>
      <xdr:row>8</xdr:row>
      <xdr:rowOff>142875</xdr:rowOff>
    </xdr:to>
    <xdr:sp macro="" textlink="">
      <xdr:nvSpPr>
        <xdr:cNvPr id="35847" name="Rectangle 7"/>
        <xdr:cNvSpPr>
          <a:spLocks noChangeArrowheads="1"/>
        </xdr:cNvSpPr>
      </xdr:nvSpPr>
      <xdr:spPr bwMode="auto">
        <a:xfrm>
          <a:off x="2047875" y="1390650"/>
          <a:ext cx="28575" cy="1238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8575">
          <a:solidFill>
            <a:srgbClr xmlns:mc="http://schemas.openxmlformats.org/markup-compatibility/2006" xmlns:a14="http://schemas.microsoft.com/office/drawing/2010/main" val="FF6600" mc:Ignorable="a14" a14:legacySpreadsheetColorIndex="53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342900</xdr:colOff>
      <xdr:row>8</xdr:row>
      <xdr:rowOff>76200</xdr:rowOff>
    </xdr:from>
    <xdr:to>
      <xdr:col>3</xdr:col>
      <xdr:colOff>209550</xdr:colOff>
      <xdr:row>8</xdr:row>
      <xdr:rowOff>76200</xdr:rowOff>
    </xdr:to>
    <xdr:sp macro="" textlink="">
      <xdr:nvSpPr>
        <xdr:cNvPr id="35848" name="Line 8"/>
        <xdr:cNvSpPr>
          <a:spLocks noChangeShapeType="1"/>
        </xdr:cNvSpPr>
      </xdr:nvSpPr>
      <xdr:spPr bwMode="auto">
        <a:xfrm>
          <a:off x="1562100" y="1447800"/>
          <a:ext cx="476250" cy="0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409575</xdr:colOff>
      <xdr:row>8</xdr:row>
      <xdr:rowOff>85725</xdr:rowOff>
    </xdr:from>
    <xdr:to>
      <xdr:col>6</xdr:col>
      <xdr:colOff>19050</xdr:colOff>
      <xdr:row>8</xdr:row>
      <xdr:rowOff>95250</xdr:rowOff>
    </xdr:to>
    <xdr:sp macro="" textlink="">
      <xdr:nvSpPr>
        <xdr:cNvPr id="35849" name="Line 9"/>
        <xdr:cNvSpPr>
          <a:spLocks noChangeShapeType="1"/>
        </xdr:cNvSpPr>
      </xdr:nvSpPr>
      <xdr:spPr bwMode="auto">
        <a:xfrm>
          <a:off x="2238375" y="1457325"/>
          <a:ext cx="1438275" cy="95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228600</xdr:colOff>
      <xdr:row>7</xdr:row>
      <xdr:rowOff>0</xdr:rowOff>
    </xdr:from>
    <xdr:to>
      <xdr:col>5</xdr:col>
      <xdr:colOff>228600</xdr:colOff>
      <xdr:row>7</xdr:row>
      <xdr:rowOff>0</xdr:rowOff>
    </xdr:to>
    <xdr:sp macro="" textlink="">
      <xdr:nvSpPr>
        <xdr:cNvPr id="35850" name="Line 10"/>
        <xdr:cNvSpPr>
          <a:spLocks noChangeShapeType="1"/>
        </xdr:cNvSpPr>
      </xdr:nvSpPr>
      <xdr:spPr bwMode="auto">
        <a:xfrm>
          <a:off x="2667000" y="1209675"/>
          <a:ext cx="6096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123825</xdr:colOff>
      <xdr:row>8</xdr:row>
      <xdr:rowOff>85725</xdr:rowOff>
    </xdr:from>
    <xdr:to>
      <xdr:col>5</xdr:col>
      <xdr:colOff>123825</xdr:colOff>
      <xdr:row>15</xdr:row>
      <xdr:rowOff>0</xdr:rowOff>
    </xdr:to>
    <xdr:sp macro="" textlink="">
      <xdr:nvSpPr>
        <xdr:cNvPr id="35851" name="Line 11"/>
        <xdr:cNvSpPr>
          <a:spLocks noChangeShapeType="1"/>
        </xdr:cNvSpPr>
      </xdr:nvSpPr>
      <xdr:spPr bwMode="auto">
        <a:xfrm>
          <a:off x="3171825" y="1457325"/>
          <a:ext cx="0" cy="10477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0</xdr:col>
      <xdr:colOff>76200</xdr:colOff>
      <xdr:row>11</xdr:row>
      <xdr:rowOff>142875</xdr:rowOff>
    </xdr:from>
    <xdr:ext cx="857250" cy="200025"/>
    <xdr:sp macro="" textlink="">
      <xdr:nvSpPr>
        <xdr:cNvPr id="35852" name="Text Box 12"/>
        <xdr:cNvSpPr txBox="1">
          <a:spLocks noChangeArrowheads="1"/>
        </xdr:cNvSpPr>
      </xdr:nvSpPr>
      <xdr:spPr bwMode="auto">
        <a:xfrm>
          <a:off x="76200" y="2000250"/>
          <a:ext cx="8572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Smooth Wall</a:t>
          </a:r>
        </a:p>
      </xdr:txBody>
    </xdr:sp>
    <xdr:clientData/>
  </xdr:oneCellAnchor>
  <xdr:twoCellAnchor>
    <xdr:from>
      <xdr:col>1</xdr:col>
      <xdr:colOff>285750</xdr:colOff>
      <xdr:row>12</xdr:row>
      <xdr:rowOff>47625</xdr:rowOff>
    </xdr:from>
    <xdr:to>
      <xdr:col>2</xdr:col>
      <xdr:colOff>352425</xdr:colOff>
      <xdr:row>14</xdr:row>
      <xdr:rowOff>142875</xdr:rowOff>
    </xdr:to>
    <xdr:sp macro="" textlink="">
      <xdr:nvSpPr>
        <xdr:cNvPr id="35853" name="Line 13"/>
        <xdr:cNvSpPr>
          <a:spLocks noChangeShapeType="1"/>
        </xdr:cNvSpPr>
      </xdr:nvSpPr>
      <xdr:spPr bwMode="auto">
        <a:xfrm flipH="1" flipV="1">
          <a:off x="895350" y="2066925"/>
          <a:ext cx="676275" cy="41910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581025</xdr:colOff>
      <xdr:row>7</xdr:row>
      <xdr:rowOff>133350</xdr:rowOff>
    </xdr:from>
    <xdr:to>
      <xdr:col>2</xdr:col>
      <xdr:colOff>590550</xdr:colOff>
      <xdr:row>11</xdr:row>
      <xdr:rowOff>152400</xdr:rowOff>
    </xdr:to>
    <xdr:sp macro="" textlink="">
      <xdr:nvSpPr>
        <xdr:cNvPr id="35854" name="Line 14"/>
        <xdr:cNvSpPr>
          <a:spLocks noChangeShapeType="1"/>
        </xdr:cNvSpPr>
      </xdr:nvSpPr>
      <xdr:spPr bwMode="auto">
        <a:xfrm flipH="1">
          <a:off x="1800225" y="1343025"/>
          <a:ext cx="9525" cy="6667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219075</xdr:colOff>
      <xdr:row>14</xdr:row>
      <xdr:rowOff>152400</xdr:rowOff>
    </xdr:from>
    <xdr:to>
      <xdr:col>5</xdr:col>
      <xdr:colOff>180975</xdr:colOff>
      <xdr:row>14</xdr:row>
      <xdr:rowOff>152400</xdr:rowOff>
    </xdr:to>
    <xdr:sp macro="" textlink="">
      <xdr:nvSpPr>
        <xdr:cNvPr id="35855" name="Line 15"/>
        <xdr:cNvSpPr>
          <a:spLocks noChangeShapeType="1"/>
        </xdr:cNvSpPr>
      </xdr:nvSpPr>
      <xdr:spPr bwMode="auto">
        <a:xfrm>
          <a:off x="2657475" y="2495550"/>
          <a:ext cx="5715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4</xdr:col>
      <xdr:colOff>586532</xdr:colOff>
      <xdr:row>9</xdr:row>
      <xdr:rowOff>137117</xdr:rowOff>
    </xdr:from>
    <xdr:ext cx="331886" cy="573491"/>
    <xdr:sp macro="" textlink="">
      <xdr:nvSpPr>
        <xdr:cNvPr id="35856" name="Text Box 16"/>
        <xdr:cNvSpPr txBox="1">
          <a:spLocks noChangeArrowheads="1"/>
        </xdr:cNvSpPr>
      </xdr:nvSpPr>
      <xdr:spPr bwMode="auto">
        <a:xfrm>
          <a:off x="3024932" y="1670642"/>
          <a:ext cx="331886" cy="573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="vert270" wrap="none" lIns="18288" tIns="22860" rIns="18288" bIns="22860" anchor="ctr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2'-3"</a:t>
          </a:r>
          <a:endParaRPr lang="en-US" sz="1000" b="1" i="0" u="none" strike="noStrike" baseline="0">
            <a:solidFill>
              <a:srgbClr val="FF0000"/>
            </a:solidFill>
            <a:latin typeface="Arial"/>
            <a:cs typeface="Arial"/>
          </a:endParaRPr>
        </a:p>
        <a:p>
          <a:pPr algn="ctr" rtl="0">
            <a:lnSpc>
              <a:spcPts val="900"/>
            </a:lnSpc>
            <a:defRPr sz="1000"/>
          </a:pPr>
          <a:r>
            <a:rPr lang="en-US" sz="1000" b="1" i="0" u="none" strike="noStrike" baseline="0">
              <a:solidFill>
                <a:srgbClr val="FF0000"/>
              </a:solidFill>
              <a:latin typeface="Arial"/>
              <a:cs typeface="Arial"/>
            </a:rPr>
            <a:t>(686mm)</a:t>
          </a:r>
        </a:p>
      </xdr:txBody>
    </xdr:sp>
    <xdr:clientData/>
  </xdr:oneCellAnchor>
  <xdr:twoCellAnchor>
    <xdr:from>
      <xdr:col>2</xdr:col>
      <xdr:colOff>19050</xdr:colOff>
      <xdr:row>11</xdr:row>
      <xdr:rowOff>0</xdr:rowOff>
    </xdr:from>
    <xdr:to>
      <xdr:col>2</xdr:col>
      <xdr:colOff>581025</xdr:colOff>
      <xdr:row>11</xdr:row>
      <xdr:rowOff>0</xdr:rowOff>
    </xdr:to>
    <xdr:sp macro="" textlink="">
      <xdr:nvSpPr>
        <xdr:cNvPr id="35857" name="Line 17"/>
        <xdr:cNvSpPr>
          <a:spLocks noChangeShapeType="1"/>
        </xdr:cNvSpPr>
      </xdr:nvSpPr>
      <xdr:spPr bwMode="auto">
        <a:xfrm>
          <a:off x="1238250" y="1857375"/>
          <a:ext cx="5619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600075</xdr:colOff>
      <xdr:row>11</xdr:row>
      <xdr:rowOff>0</xdr:rowOff>
    </xdr:from>
    <xdr:to>
      <xdr:col>3</xdr:col>
      <xdr:colOff>581025</xdr:colOff>
      <xdr:row>11</xdr:row>
      <xdr:rowOff>0</xdr:rowOff>
    </xdr:to>
    <xdr:sp macro="" textlink="">
      <xdr:nvSpPr>
        <xdr:cNvPr id="35858" name="Line 18"/>
        <xdr:cNvSpPr>
          <a:spLocks noChangeShapeType="1"/>
        </xdr:cNvSpPr>
      </xdr:nvSpPr>
      <xdr:spPr bwMode="auto">
        <a:xfrm>
          <a:off x="1819275" y="1857375"/>
          <a:ext cx="5905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600075</xdr:colOff>
      <xdr:row>9</xdr:row>
      <xdr:rowOff>152400</xdr:rowOff>
    </xdr:from>
    <xdr:to>
      <xdr:col>3</xdr:col>
      <xdr:colOff>66675</xdr:colOff>
      <xdr:row>14</xdr:row>
      <xdr:rowOff>0</xdr:rowOff>
    </xdr:to>
    <xdr:sp macro="" textlink="">
      <xdr:nvSpPr>
        <xdr:cNvPr id="35859" name="Text Box 19"/>
        <xdr:cNvSpPr txBox="1">
          <a:spLocks noChangeArrowheads="1"/>
        </xdr:cNvSpPr>
      </xdr:nvSpPr>
      <xdr:spPr bwMode="auto">
        <a:xfrm>
          <a:off x="1209675" y="1685925"/>
          <a:ext cx="6858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1'-3" Min.</a:t>
          </a:r>
        </a:p>
        <a:p>
          <a:pPr algn="ctr" rtl="0">
            <a:defRPr sz="1000"/>
          </a:pPr>
          <a:r>
            <a:rPr lang="en-US" sz="1000" b="1" i="0" u="none" strike="noStrike" baseline="0">
              <a:solidFill>
                <a:srgbClr val="FF0000"/>
              </a:solidFill>
              <a:latin typeface="Arial"/>
              <a:cs typeface="Arial"/>
            </a:rPr>
            <a:t>(381mm)</a:t>
          </a:r>
        </a:p>
        <a:p>
          <a:pPr algn="ctr" rtl="0">
            <a:defRPr sz="1000"/>
          </a:pPr>
          <a:r>
            <a:rPr lang="en-US" sz="800" b="1" i="1" u="none" strike="noStrike" baseline="0">
              <a:solidFill>
                <a:srgbClr val="FF0000"/>
              </a:solidFill>
              <a:latin typeface="Arial"/>
              <a:cs typeface="Arial"/>
            </a:rPr>
            <a:t>See </a:t>
          </a:r>
        </a:p>
        <a:p>
          <a:pPr algn="ctr" rtl="0">
            <a:defRPr sz="1000"/>
          </a:pPr>
          <a:r>
            <a:rPr lang="en-US" sz="800" b="1" i="1" u="none" strike="noStrike" baseline="0">
              <a:solidFill>
                <a:srgbClr val="FF0000"/>
              </a:solidFill>
              <a:latin typeface="Arial"/>
              <a:cs typeface="Arial"/>
            </a:rPr>
            <a:t>Note12</a:t>
          </a:r>
          <a:endParaRPr lang="en-US" sz="10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0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2</xdr:col>
      <xdr:colOff>581025</xdr:colOff>
      <xdr:row>10</xdr:row>
      <xdr:rowOff>0</xdr:rowOff>
    </xdr:from>
    <xdr:to>
      <xdr:col>4</xdr:col>
      <xdr:colOff>95250</xdr:colOff>
      <xdr:row>14</xdr:row>
      <xdr:rowOff>152400</xdr:rowOff>
    </xdr:to>
    <xdr:sp macro="" textlink="">
      <xdr:nvSpPr>
        <xdr:cNvPr id="35860" name="Text Box 20"/>
        <xdr:cNvSpPr txBox="1">
          <a:spLocks noChangeArrowheads="1"/>
        </xdr:cNvSpPr>
      </xdr:nvSpPr>
      <xdr:spPr bwMode="auto">
        <a:xfrm>
          <a:off x="1800225" y="1695450"/>
          <a:ext cx="7334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1'-3" Min.</a:t>
          </a:r>
        </a:p>
        <a:p>
          <a:pPr algn="ctr" rtl="0">
            <a:defRPr sz="1000"/>
          </a:pPr>
          <a:r>
            <a:rPr lang="en-US" sz="1000" b="1" i="0" u="none" strike="noStrike" baseline="0">
              <a:solidFill>
                <a:srgbClr val="FF0000"/>
              </a:solidFill>
              <a:latin typeface="Arial"/>
              <a:cs typeface="Arial"/>
            </a:rPr>
            <a:t>(381mm)</a:t>
          </a:r>
        </a:p>
        <a:p>
          <a:pPr algn="ctr" rtl="0">
            <a:defRPr sz="1000"/>
          </a:pPr>
          <a:r>
            <a:rPr lang="en-US" sz="800" b="1" i="1" u="none" strike="noStrike" baseline="0">
              <a:solidFill>
                <a:srgbClr val="FF0000"/>
              </a:solidFill>
              <a:latin typeface="Arial"/>
              <a:cs typeface="Arial"/>
            </a:rPr>
            <a:t>See </a:t>
          </a:r>
        </a:p>
        <a:p>
          <a:pPr algn="ctr" rtl="0">
            <a:defRPr sz="1000"/>
          </a:pPr>
          <a:r>
            <a:rPr lang="en-US" sz="800" b="1" i="1" u="none" strike="noStrike" baseline="0">
              <a:solidFill>
                <a:srgbClr val="FF0000"/>
              </a:solidFill>
              <a:latin typeface="Arial"/>
              <a:cs typeface="Arial"/>
            </a:rPr>
            <a:t>Note12</a:t>
          </a:r>
          <a:endParaRPr lang="en-US" sz="10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0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123825</xdr:colOff>
      <xdr:row>6</xdr:row>
      <xdr:rowOff>152400</xdr:rowOff>
    </xdr:from>
    <xdr:to>
      <xdr:col>5</xdr:col>
      <xdr:colOff>123825</xdr:colOff>
      <xdr:row>8</xdr:row>
      <xdr:rowOff>76200</xdr:rowOff>
    </xdr:to>
    <xdr:sp macro="" textlink="">
      <xdr:nvSpPr>
        <xdr:cNvPr id="35861" name="Line 21"/>
        <xdr:cNvSpPr>
          <a:spLocks noChangeShapeType="1"/>
        </xdr:cNvSpPr>
      </xdr:nvSpPr>
      <xdr:spPr bwMode="auto">
        <a:xfrm flipV="1">
          <a:off x="3171825" y="1200150"/>
          <a:ext cx="0" cy="2476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600075</xdr:colOff>
      <xdr:row>8</xdr:row>
      <xdr:rowOff>114300</xdr:rowOff>
    </xdr:from>
    <xdr:to>
      <xdr:col>5</xdr:col>
      <xdr:colOff>600075</xdr:colOff>
      <xdr:row>16</xdr:row>
      <xdr:rowOff>133350</xdr:rowOff>
    </xdr:to>
    <xdr:sp macro="" textlink="">
      <xdr:nvSpPr>
        <xdr:cNvPr id="35862" name="Line 22"/>
        <xdr:cNvSpPr>
          <a:spLocks noChangeShapeType="1"/>
        </xdr:cNvSpPr>
      </xdr:nvSpPr>
      <xdr:spPr bwMode="auto">
        <a:xfrm flipV="1">
          <a:off x="3648075" y="1485900"/>
          <a:ext cx="0" cy="13144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5</xdr:col>
      <xdr:colOff>428625</xdr:colOff>
      <xdr:row>10</xdr:row>
      <xdr:rowOff>142875</xdr:rowOff>
    </xdr:from>
    <xdr:ext cx="514350" cy="638175"/>
    <xdr:sp macro="" textlink="">
      <xdr:nvSpPr>
        <xdr:cNvPr id="35863" name="Text Box 23"/>
        <xdr:cNvSpPr txBox="1">
          <a:spLocks noChangeArrowheads="1"/>
        </xdr:cNvSpPr>
      </xdr:nvSpPr>
      <xdr:spPr bwMode="auto">
        <a:xfrm>
          <a:off x="3476625" y="1838325"/>
          <a:ext cx="5143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="vert270" wrap="none" lIns="18288" tIns="22860" rIns="18288" bIns="22860" anchor="ctr" upright="1">
          <a:spAutoFit/>
        </a:bodyPr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2'-6"</a:t>
          </a:r>
          <a:endParaRPr lang="en-US" sz="1000" b="1" i="0" u="none" strike="noStrike" baseline="0">
            <a:solidFill>
              <a:srgbClr val="FF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000" b="1" i="0" u="none" strike="noStrike" baseline="0">
              <a:solidFill>
                <a:srgbClr val="FF0000"/>
              </a:solidFill>
              <a:latin typeface="Arial"/>
              <a:cs typeface="Arial"/>
            </a:rPr>
            <a:t>(762mm)</a:t>
          </a:r>
        </a:p>
        <a:p>
          <a:pPr algn="ctr" rtl="0">
            <a:defRPr sz="1000"/>
          </a:pPr>
          <a:r>
            <a:rPr lang="en-US" sz="800" b="1" i="1" u="none" strike="noStrike" baseline="0">
              <a:solidFill>
                <a:srgbClr val="FF0000"/>
              </a:solidFill>
              <a:latin typeface="Arial"/>
              <a:cs typeface="Arial"/>
            </a:rPr>
            <a:t>See Note11</a:t>
          </a:r>
        </a:p>
      </xdr:txBody>
    </xdr:sp>
    <xdr:clientData/>
  </xdr:oneCellAnchor>
  <xdr:oneCellAnchor>
    <xdr:from>
      <xdr:col>0</xdr:col>
      <xdr:colOff>123825</xdr:colOff>
      <xdr:row>17</xdr:row>
      <xdr:rowOff>142875</xdr:rowOff>
    </xdr:from>
    <xdr:ext cx="1194173" cy="170560"/>
    <xdr:sp macro="" textlink="">
      <xdr:nvSpPr>
        <xdr:cNvPr id="35864" name="Text Box 24"/>
        <xdr:cNvSpPr txBox="1">
          <a:spLocks noChangeArrowheads="1"/>
        </xdr:cNvSpPr>
      </xdr:nvSpPr>
      <xdr:spPr bwMode="auto">
        <a:xfrm>
          <a:off x="123825" y="2971800"/>
          <a:ext cx="1194173" cy="170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Other Obstructions</a:t>
          </a:r>
        </a:p>
      </xdr:txBody>
    </xdr:sp>
    <xdr:clientData/>
  </xdr:oneCellAnchor>
  <xdr:twoCellAnchor>
    <xdr:from>
      <xdr:col>2</xdr:col>
      <xdr:colOff>304800</xdr:colOff>
      <xdr:row>17</xdr:row>
      <xdr:rowOff>9525</xdr:rowOff>
    </xdr:from>
    <xdr:to>
      <xdr:col>2</xdr:col>
      <xdr:colOff>304800</xdr:colOff>
      <xdr:row>18</xdr:row>
      <xdr:rowOff>66675</xdr:rowOff>
    </xdr:to>
    <xdr:sp macro="" textlink="">
      <xdr:nvSpPr>
        <xdr:cNvPr id="35865" name="Line 25"/>
        <xdr:cNvSpPr>
          <a:spLocks noChangeShapeType="1"/>
        </xdr:cNvSpPr>
      </xdr:nvSpPr>
      <xdr:spPr bwMode="auto">
        <a:xfrm>
          <a:off x="1524000" y="2838450"/>
          <a:ext cx="0" cy="21907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18</xdr:row>
      <xdr:rowOff>76200</xdr:rowOff>
    </xdr:from>
    <xdr:to>
      <xdr:col>2</xdr:col>
      <xdr:colOff>295275</xdr:colOff>
      <xdr:row>18</xdr:row>
      <xdr:rowOff>76200</xdr:rowOff>
    </xdr:to>
    <xdr:sp macro="" textlink="">
      <xdr:nvSpPr>
        <xdr:cNvPr id="35866" name="Line 26"/>
        <xdr:cNvSpPr>
          <a:spLocks noChangeShapeType="1"/>
        </xdr:cNvSpPr>
      </xdr:nvSpPr>
      <xdr:spPr bwMode="auto">
        <a:xfrm>
          <a:off x="1304925" y="3067050"/>
          <a:ext cx="2095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123825</xdr:colOff>
      <xdr:row>3</xdr:row>
      <xdr:rowOff>123825</xdr:rowOff>
    </xdr:from>
    <xdr:to>
      <xdr:col>5</xdr:col>
      <xdr:colOff>123825</xdr:colOff>
      <xdr:row>6</xdr:row>
      <xdr:rowOff>142875</xdr:rowOff>
    </xdr:to>
    <xdr:sp macro="" textlink="">
      <xdr:nvSpPr>
        <xdr:cNvPr id="35867" name="Line 27"/>
        <xdr:cNvSpPr>
          <a:spLocks noChangeShapeType="1"/>
        </xdr:cNvSpPr>
      </xdr:nvSpPr>
      <xdr:spPr bwMode="auto">
        <a:xfrm flipV="1">
          <a:off x="3171825" y="685800"/>
          <a:ext cx="0" cy="5048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4</xdr:col>
      <xdr:colOff>552450</xdr:colOff>
      <xdr:row>2</xdr:row>
      <xdr:rowOff>57150</xdr:rowOff>
    </xdr:from>
    <xdr:to>
      <xdr:col>5</xdr:col>
      <xdr:colOff>409575</xdr:colOff>
      <xdr:row>7</xdr:row>
      <xdr:rowOff>28575</xdr:rowOff>
    </xdr:to>
    <xdr:sp macro="" textlink="">
      <xdr:nvSpPr>
        <xdr:cNvPr id="35869" name="Text Box 29"/>
        <xdr:cNvSpPr txBox="1">
          <a:spLocks noChangeArrowheads="1"/>
        </xdr:cNvSpPr>
      </xdr:nvSpPr>
      <xdr:spPr bwMode="auto">
        <a:xfrm>
          <a:off x="2990850" y="457200"/>
          <a:ext cx="46672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vert="vert270" wrap="square" lIns="27432" tIns="22860" rIns="27432" bIns="22860" anchor="ctr" upright="1"/>
        <a:lstStyle/>
        <a:p>
          <a:pPr algn="ctr" rtl="0">
            <a:lnSpc>
              <a:spcPts val="1100"/>
            </a:lnSpc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7" Min.</a:t>
          </a:r>
          <a:endParaRPr lang="en-US" sz="1000" b="1" i="0" u="none" strike="noStrike" baseline="0">
            <a:solidFill>
              <a:srgbClr val="FF0000"/>
            </a:solidFill>
            <a:latin typeface="Arial"/>
            <a:cs typeface="Arial"/>
          </a:endParaRPr>
        </a:p>
        <a:p>
          <a:pPr algn="ctr" rtl="0">
            <a:lnSpc>
              <a:spcPts val="1100"/>
            </a:lnSpc>
            <a:defRPr sz="1000"/>
          </a:pPr>
          <a:r>
            <a:rPr lang="en-US" sz="1000" b="1" i="0" u="none" strike="noStrike" baseline="0">
              <a:solidFill>
                <a:srgbClr val="FF0000"/>
              </a:solidFill>
              <a:latin typeface="Arial"/>
              <a:cs typeface="Arial"/>
            </a:rPr>
            <a:t>(178mm)</a:t>
          </a:r>
        </a:p>
        <a:p>
          <a:pPr algn="ctr" rtl="0">
            <a:lnSpc>
              <a:spcPts val="1000"/>
            </a:lnSpc>
            <a:defRPr sz="1000"/>
          </a:pPr>
          <a:r>
            <a:rPr lang="en-US" sz="800" b="1" i="1" u="none" strike="noStrike" baseline="0">
              <a:solidFill>
                <a:srgbClr val="FF0000"/>
              </a:solidFill>
              <a:latin typeface="Arial"/>
              <a:cs typeface="Arial"/>
            </a:rPr>
            <a:t>See Note13</a:t>
          </a:r>
        </a:p>
      </xdr:txBody>
    </xdr:sp>
    <xdr:clientData/>
  </xdr:twoCellAnchor>
  <xdr:oneCellAnchor>
    <xdr:from>
      <xdr:col>0</xdr:col>
      <xdr:colOff>333375</xdr:colOff>
      <xdr:row>18</xdr:row>
      <xdr:rowOff>142875</xdr:rowOff>
    </xdr:from>
    <xdr:ext cx="3738909" cy="238783"/>
    <xdr:sp macro="" textlink="">
      <xdr:nvSpPr>
        <xdr:cNvPr id="35870" name="Text Box 30"/>
        <xdr:cNvSpPr txBox="1">
          <a:spLocks noChangeArrowheads="1"/>
        </xdr:cNvSpPr>
      </xdr:nvSpPr>
      <xdr:spPr bwMode="auto">
        <a:xfrm>
          <a:off x="333375" y="3133725"/>
          <a:ext cx="3738909" cy="2387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2004" rIns="0" bIns="0" anchor="t" upright="1">
          <a:spAutoFit/>
        </a:bodyPr>
        <a:lstStyle/>
        <a:p>
          <a:pPr algn="l" rtl="0">
            <a:defRPr sz="1000"/>
          </a:pPr>
          <a:r>
            <a:rPr lang="en-US" sz="1400" b="1" i="0" u="sng" strike="noStrike" baseline="0">
              <a:solidFill>
                <a:srgbClr val="0000FF"/>
              </a:solidFill>
              <a:latin typeface="Roman"/>
            </a:rPr>
            <a:t>Clearance Diagram for Fixed Ladder in Well</a:t>
          </a:r>
        </a:p>
      </xdr:txBody>
    </xdr:sp>
    <xdr:clientData/>
  </xdr:oneCellAnchor>
  <xdr:oneCellAnchor>
    <xdr:from>
      <xdr:col>2</xdr:col>
      <xdr:colOff>238125</xdr:colOff>
      <xdr:row>20</xdr:row>
      <xdr:rowOff>66675</xdr:rowOff>
    </xdr:from>
    <xdr:ext cx="695325" cy="200025"/>
    <xdr:sp macro="" textlink="">
      <xdr:nvSpPr>
        <xdr:cNvPr id="35871" name="Text Box 31"/>
        <xdr:cNvSpPr txBox="1">
          <a:spLocks noChangeArrowheads="1"/>
        </xdr:cNvSpPr>
      </xdr:nvSpPr>
      <xdr:spPr bwMode="auto">
        <a:xfrm>
          <a:off x="1457325" y="3381375"/>
          <a:ext cx="6953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Plan View</a:t>
          </a:r>
        </a:p>
      </xdr:txBody>
    </xdr:sp>
    <xdr:clientData/>
  </xdr:oneCellAnchor>
  <xdr:oneCellAnchor>
    <xdr:from>
      <xdr:col>1</xdr:col>
      <xdr:colOff>76200</xdr:colOff>
      <xdr:row>4</xdr:row>
      <xdr:rowOff>9525</xdr:rowOff>
    </xdr:from>
    <xdr:ext cx="885825" cy="200025"/>
    <xdr:sp macro="" textlink="">
      <xdr:nvSpPr>
        <xdr:cNvPr id="35872" name="Text Box 32"/>
        <xdr:cNvSpPr txBox="1">
          <a:spLocks noChangeArrowheads="1"/>
        </xdr:cNvSpPr>
      </xdr:nvSpPr>
      <xdr:spPr bwMode="auto">
        <a:xfrm>
          <a:off x="685800" y="733425"/>
          <a:ext cx="885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Fixed Ladder</a:t>
          </a:r>
        </a:p>
      </xdr:txBody>
    </xdr:sp>
    <xdr:clientData/>
  </xdr:oneCellAnchor>
  <xdr:twoCellAnchor>
    <xdr:from>
      <xdr:col>2</xdr:col>
      <xdr:colOff>323850</xdr:colOff>
      <xdr:row>4</xdr:row>
      <xdr:rowOff>133350</xdr:rowOff>
    </xdr:from>
    <xdr:to>
      <xdr:col>3</xdr:col>
      <xdr:colOff>66675</xdr:colOff>
      <xdr:row>8</xdr:row>
      <xdr:rowOff>57150</xdr:rowOff>
    </xdr:to>
    <xdr:sp macro="" textlink="">
      <xdr:nvSpPr>
        <xdr:cNvPr id="35873" name="Line 33"/>
        <xdr:cNvSpPr>
          <a:spLocks noChangeShapeType="1"/>
        </xdr:cNvSpPr>
      </xdr:nvSpPr>
      <xdr:spPr bwMode="auto">
        <a:xfrm flipH="1" flipV="1">
          <a:off x="1543050" y="857250"/>
          <a:ext cx="352425" cy="57150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409575</xdr:colOff>
      <xdr:row>23</xdr:row>
      <xdr:rowOff>123825</xdr:rowOff>
    </xdr:from>
    <xdr:to>
      <xdr:col>1</xdr:col>
      <xdr:colOff>409575</xdr:colOff>
      <xdr:row>28</xdr:row>
      <xdr:rowOff>9525</xdr:rowOff>
    </xdr:to>
    <xdr:sp macro="" textlink="">
      <xdr:nvSpPr>
        <xdr:cNvPr id="35874" name="Line 34"/>
        <xdr:cNvSpPr>
          <a:spLocks noChangeShapeType="1"/>
        </xdr:cNvSpPr>
      </xdr:nvSpPr>
      <xdr:spPr bwMode="auto">
        <a:xfrm>
          <a:off x="1019175" y="3924300"/>
          <a:ext cx="0" cy="6953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FF6600" mc:Ignorable="a14" a14:legacySpreadsheetColorIndex="53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24</xdr:row>
      <xdr:rowOff>95250</xdr:rowOff>
    </xdr:from>
    <xdr:to>
      <xdr:col>2</xdr:col>
      <xdr:colOff>0</xdr:colOff>
      <xdr:row>28</xdr:row>
      <xdr:rowOff>114300</xdr:rowOff>
    </xdr:to>
    <xdr:sp macro="" textlink="">
      <xdr:nvSpPr>
        <xdr:cNvPr id="35875" name="Line 35"/>
        <xdr:cNvSpPr>
          <a:spLocks noChangeShapeType="1"/>
        </xdr:cNvSpPr>
      </xdr:nvSpPr>
      <xdr:spPr bwMode="auto">
        <a:xfrm>
          <a:off x="1219200" y="4057650"/>
          <a:ext cx="0" cy="66675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FF6600" mc:Ignorable="a14" a14:legacySpreadsheetColorIndex="53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400050</xdr:colOff>
      <xdr:row>27</xdr:row>
      <xdr:rowOff>66675</xdr:rowOff>
    </xdr:from>
    <xdr:to>
      <xdr:col>2</xdr:col>
      <xdr:colOff>0</xdr:colOff>
      <xdr:row>27</xdr:row>
      <xdr:rowOff>66675</xdr:rowOff>
    </xdr:to>
    <xdr:sp macro="" textlink="">
      <xdr:nvSpPr>
        <xdr:cNvPr id="35876" name="Line 36"/>
        <xdr:cNvSpPr>
          <a:spLocks noChangeShapeType="1"/>
        </xdr:cNvSpPr>
      </xdr:nvSpPr>
      <xdr:spPr bwMode="auto">
        <a:xfrm>
          <a:off x="1009650" y="4514850"/>
          <a:ext cx="2095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400050</xdr:colOff>
      <xdr:row>26</xdr:row>
      <xdr:rowOff>152400</xdr:rowOff>
    </xdr:from>
    <xdr:to>
      <xdr:col>1</xdr:col>
      <xdr:colOff>600075</xdr:colOff>
      <xdr:row>26</xdr:row>
      <xdr:rowOff>152400</xdr:rowOff>
    </xdr:to>
    <xdr:sp macro="" textlink="">
      <xdr:nvSpPr>
        <xdr:cNvPr id="35882" name="Line 42"/>
        <xdr:cNvSpPr>
          <a:spLocks noChangeShapeType="1"/>
        </xdr:cNvSpPr>
      </xdr:nvSpPr>
      <xdr:spPr bwMode="auto">
        <a:xfrm>
          <a:off x="1009650" y="4438650"/>
          <a:ext cx="20002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409575</xdr:colOff>
      <xdr:row>26</xdr:row>
      <xdr:rowOff>76200</xdr:rowOff>
    </xdr:from>
    <xdr:to>
      <xdr:col>2</xdr:col>
      <xdr:colOff>9525</xdr:colOff>
      <xdr:row>26</xdr:row>
      <xdr:rowOff>76200</xdr:rowOff>
    </xdr:to>
    <xdr:sp macro="" textlink="">
      <xdr:nvSpPr>
        <xdr:cNvPr id="35883" name="Line 43"/>
        <xdr:cNvSpPr>
          <a:spLocks noChangeShapeType="1"/>
        </xdr:cNvSpPr>
      </xdr:nvSpPr>
      <xdr:spPr bwMode="auto">
        <a:xfrm>
          <a:off x="1019175" y="4362450"/>
          <a:ext cx="2095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400050</xdr:colOff>
      <xdr:row>26</xdr:row>
      <xdr:rowOff>0</xdr:rowOff>
    </xdr:from>
    <xdr:to>
      <xdr:col>2</xdr:col>
      <xdr:colOff>0</xdr:colOff>
      <xdr:row>26</xdr:row>
      <xdr:rowOff>0</xdr:rowOff>
    </xdr:to>
    <xdr:sp macro="" textlink="">
      <xdr:nvSpPr>
        <xdr:cNvPr id="35884" name="Line 44"/>
        <xdr:cNvSpPr>
          <a:spLocks noChangeShapeType="1"/>
        </xdr:cNvSpPr>
      </xdr:nvSpPr>
      <xdr:spPr bwMode="auto">
        <a:xfrm>
          <a:off x="1009650" y="4286250"/>
          <a:ext cx="2095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400050</xdr:colOff>
      <xdr:row>25</xdr:row>
      <xdr:rowOff>76200</xdr:rowOff>
    </xdr:from>
    <xdr:to>
      <xdr:col>2</xdr:col>
      <xdr:colOff>0</xdr:colOff>
      <xdr:row>25</xdr:row>
      <xdr:rowOff>76200</xdr:rowOff>
    </xdr:to>
    <xdr:sp macro="" textlink="">
      <xdr:nvSpPr>
        <xdr:cNvPr id="35885" name="Line 45"/>
        <xdr:cNvSpPr>
          <a:spLocks noChangeShapeType="1"/>
        </xdr:cNvSpPr>
      </xdr:nvSpPr>
      <xdr:spPr bwMode="auto">
        <a:xfrm>
          <a:off x="1009650" y="4200525"/>
          <a:ext cx="2095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409575</xdr:colOff>
      <xdr:row>24</xdr:row>
      <xdr:rowOff>152400</xdr:rowOff>
    </xdr:from>
    <xdr:to>
      <xdr:col>2</xdr:col>
      <xdr:colOff>9525</xdr:colOff>
      <xdr:row>24</xdr:row>
      <xdr:rowOff>152400</xdr:rowOff>
    </xdr:to>
    <xdr:sp macro="" textlink="">
      <xdr:nvSpPr>
        <xdr:cNvPr id="35886" name="Line 46"/>
        <xdr:cNvSpPr>
          <a:spLocks noChangeShapeType="1"/>
        </xdr:cNvSpPr>
      </xdr:nvSpPr>
      <xdr:spPr bwMode="auto">
        <a:xfrm>
          <a:off x="1019175" y="4114800"/>
          <a:ext cx="2095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409575</xdr:colOff>
      <xdr:row>24</xdr:row>
      <xdr:rowOff>66675</xdr:rowOff>
    </xdr:from>
    <xdr:to>
      <xdr:col>1</xdr:col>
      <xdr:colOff>514350</xdr:colOff>
      <xdr:row>24</xdr:row>
      <xdr:rowOff>66675</xdr:rowOff>
    </xdr:to>
    <xdr:sp macro="" textlink="">
      <xdr:nvSpPr>
        <xdr:cNvPr id="35887" name="Line 47"/>
        <xdr:cNvSpPr>
          <a:spLocks noChangeShapeType="1"/>
        </xdr:cNvSpPr>
      </xdr:nvSpPr>
      <xdr:spPr bwMode="auto">
        <a:xfrm>
          <a:off x="1019175" y="4029075"/>
          <a:ext cx="1047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304800</xdr:colOff>
      <xdr:row>28</xdr:row>
      <xdr:rowOff>9525</xdr:rowOff>
    </xdr:from>
    <xdr:to>
      <xdr:col>2</xdr:col>
      <xdr:colOff>95250</xdr:colOff>
      <xdr:row>28</xdr:row>
      <xdr:rowOff>95250</xdr:rowOff>
    </xdr:to>
    <xdr:sp macro="" textlink="">
      <xdr:nvSpPr>
        <xdr:cNvPr id="35891" name="Rectangle 51"/>
        <xdr:cNvSpPr>
          <a:spLocks noChangeArrowheads="1"/>
        </xdr:cNvSpPr>
      </xdr:nvSpPr>
      <xdr:spPr bwMode="auto">
        <a:xfrm>
          <a:off x="914400" y="4619625"/>
          <a:ext cx="400050" cy="85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247650</xdr:colOff>
      <xdr:row>25</xdr:row>
      <xdr:rowOff>142875</xdr:rowOff>
    </xdr:from>
    <xdr:to>
      <xdr:col>2</xdr:col>
      <xdr:colOff>247650</xdr:colOff>
      <xdr:row>42</xdr:row>
      <xdr:rowOff>9525</xdr:rowOff>
    </xdr:to>
    <xdr:sp macro="" textlink="">
      <xdr:nvSpPr>
        <xdr:cNvPr id="35892" name="Line 52"/>
        <xdr:cNvSpPr>
          <a:spLocks noChangeShapeType="1"/>
        </xdr:cNvSpPr>
      </xdr:nvSpPr>
      <xdr:spPr bwMode="auto">
        <a:xfrm>
          <a:off x="1466850" y="4267200"/>
          <a:ext cx="0" cy="261937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FF6600" mc:Ignorable="a14" a14:legacySpreadsheetColorIndex="53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438150</xdr:colOff>
      <xdr:row>25</xdr:row>
      <xdr:rowOff>133350</xdr:rowOff>
    </xdr:from>
    <xdr:to>
      <xdr:col>2</xdr:col>
      <xdr:colOff>438150</xdr:colOff>
      <xdr:row>42</xdr:row>
      <xdr:rowOff>38100</xdr:rowOff>
    </xdr:to>
    <xdr:sp macro="" textlink="">
      <xdr:nvSpPr>
        <xdr:cNvPr id="35893" name="Line 53"/>
        <xdr:cNvSpPr>
          <a:spLocks noChangeShapeType="1"/>
        </xdr:cNvSpPr>
      </xdr:nvSpPr>
      <xdr:spPr bwMode="auto">
        <a:xfrm flipH="1">
          <a:off x="1657350" y="4257675"/>
          <a:ext cx="0" cy="265747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FF6600" mc:Ignorable="a14" a14:legacySpreadsheetColorIndex="53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238125</xdr:colOff>
      <xdr:row>27</xdr:row>
      <xdr:rowOff>85725</xdr:rowOff>
    </xdr:from>
    <xdr:to>
      <xdr:col>2</xdr:col>
      <xdr:colOff>447675</xdr:colOff>
      <xdr:row>27</xdr:row>
      <xdr:rowOff>85725</xdr:rowOff>
    </xdr:to>
    <xdr:sp macro="" textlink="">
      <xdr:nvSpPr>
        <xdr:cNvPr id="35894" name="Line 54"/>
        <xdr:cNvSpPr>
          <a:spLocks noChangeShapeType="1"/>
        </xdr:cNvSpPr>
      </xdr:nvSpPr>
      <xdr:spPr bwMode="auto">
        <a:xfrm>
          <a:off x="1457325" y="4533900"/>
          <a:ext cx="2095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238125</xdr:colOff>
      <xdr:row>28</xdr:row>
      <xdr:rowOff>9525</xdr:rowOff>
    </xdr:from>
    <xdr:to>
      <xdr:col>2</xdr:col>
      <xdr:colOff>447675</xdr:colOff>
      <xdr:row>28</xdr:row>
      <xdr:rowOff>9525</xdr:rowOff>
    </xdr:to>
    <xdr:sp macro="" textlink="">
      <xdr:nvSpPr>
        <xdr:cNvPr id="35895" name="Line 55"/>
        <xdr:cNvSpPr>
          <a:spLocks noChangeShapeType="1"/>
        </xdr:cNvSpPr>
      </xdr:nvSpPr>
      <xdr:spPr bwMode="auto">
        <a:xfrm>
          <a:off x="1457325" y="4619625"/>
          <a:ext cx="2095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114300</xdr:colOff>
      <xdr:row>28</xdr:row>
      <xdr:rowOff>142875</xdr:rowOff>
    </xdr:from>
    <xdr:to>
      <xdr:col>2</xdr:col>
      <xdr:colOff>114300</xdr:colOff>
      <xdr:row>30</xdr:row>
      <xdr:rowOff>104775</xdr:rowOff>
    </xdr:to>
    <xdr:sp macro="" textlink="">
      <xdr:nvSpPr>
        <xdr:cNvPr id="35896" name="Line 56"/>
        <xdr:cNvSpPr>
          <a:spLocks noChangeShapeType="1"/>
        </xdr:cNvSpPr>
      </xdr:nvSpPr>
      <xdr:spPr bwMode="auto">
        <a:xfrm>
          <a:off x="1333500" y="4752975"/>
          <a:ext cx="0" cy="28575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247650</xdr:colOff>
      <xdr:row>30</xdr:row>
      <xdr:rowOff>76200</xdr:rowOff>
    </xdr:from>
    <xdr:to>
      <xdr:col>2</xdr:col>
      <xdr:colOff>571500</xdr:colOff>
      <xdr:row>30</xdr:row>
      <xdr:rowOff>76200</xdr:rowOff>
    </xdr:to>
    <xdr:sp macro="" textlink="">
      <xdr:nvSpPr>
        <xdr:cNvPr id="35897" name="Line 57"/>
        <xdr:cNvSpPr>
          <a:spLocks noChangeShapeType="1"/>
        </xdr:cNvSpPr>
      </xdr:nvSpPr>
      <xdr:spPr bwMode="auto">
        <a:xfrm>
          <a:off x="1466850" y="5010150"/>
          <a:ext cx="3238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123825</xdr:colOff>
      <xdr:row>30</xdr:row>
      <xdr:rowOff>76200</xdr:rowOff>
    </xdr:from>
    <xdr:to>
      <xdr:col>2</xdr:col>
      <xdr:colOff>238125</xdr:colOff>
      <xdr:row>30</xdr:row>
      <xdr:rowOff>76200</xdr:rowOff>
    </xdr:to>
    <xdr:sp macro="" textlink="">
      <xdr:nvSpPr>
        <xdr:cNvPr id="35898" name="Line 58"/>
        <xdr:cNvSpPr>
          <a:spLocks noChangeShapeType="1"/>
        </xdr:cNvSpPr>
      </xdr:nvSpPr>
      <xdr:spPr bwMode="auto">
        <a:xfrm flipH="1">
          <a:off x="1343025" y="5010150"/>
          <a:ext cx="1143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</xdr:col>
      <xdr:colOff>104775</xdr:colOff>
      <xdr:row>29</xdr:row>
      <xdr:rowOff>66675</xdr:rowOff>
    </xdr:from>
    <xdr:ext cx="581025" cy="361950"/>
    <xdr:sp macro="" textlink="">
      <xdr:nvSpPr>
        <xdr:cNvPr id="35899" name="Text Box 59"/>
        <xdr:cNvSpPr txBox="1">
          <a:spLocks noChangeArrowheads="1"/>
        </xdr:cNvSpPr>
      </xdr:nvSpPr>
      <xdr:spPr bwMode="auto">
        <a:xfrm>
          <a:off x="714375" y="4838700"/>
          <a:ext cx="5810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18288" bIns="0" anchor="t" upright="1">
          <a:spAutoFit/>
        </a:bodyPr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12"Max.</a:t>
          </a:r>
        </a:p>
        <a:p>
          <a:pPr algn="ctr" rtl="0">
            <a:defRPr sz="1000"/>
          </a:pPr>
          <a:r>
            <a:rPr lang="en-US" sz="1000" b="1" i="0" u="none" strike="noStrike" baseline="0">
              <a:solidFill>
                <a:srgbClr val="FF0000"/>
              </a:solidFill>
              <a:latin typeface="Arial"/>
              <a:cs typeface="Arial"/>
            </a:rPr>
            <a:t>(305mm)</a:t>
          </a:r>
        </a:p>
      </xdr:txBody>
    </xdr:sp>
    <xdr:clientData/>
  </xdr:oneCellAnchor>
  <xdr:twoCellAnchor>
    <xdr:from>
      <xdr:col>1</xdr:col>
      <xdr:colOff>276225</xdr:colOff>
      <xdr:row>30</xdr:row>
      <xdr:rowOff>66675</xdr:rowOff>
    </xdr:from>
    <xdr:to>
      <xdr:col>2</xdr:col>
      <xdr:colOff>123825</xdr:colOff>
      <xdr:row>30</xdr:row>
      <xdr:rowOff>66675</xdr:rowOff>
    </xdr:to>
    <xdr:sp macro="" textlink="">
      <xdr:nvSpPr>
        <xdr:cNvPr id="35900" name="Line 60"/>
        <xdr:cNvSpPr>
          <a:spLocks noChangeShapeType="1"/>
        </xdr:cNvSpPr>
      </xdr:nvSpPr>
      <xdr:spPr bwMode="auto">
        <a:xfrm flipH="1">
          <a:off x="885825" y="5000625"/>
          <a:ext cx="45720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42</xdr:row>
      <xdr:rowOff>0</xdr:rowOff>
    </xdr:from>
    <xdr:to>
      <xdr:col>2</xdr:col>
      <xdr:colOff>495300</xdr:colOff>
      <xdr:row>42</xdr:row>
      <xdr:rowOff>76200</xdr:rowOff>
    </xdr:to>
    <xdr:sp macro="" textlink="">
      <xdr:nvSpPr>
        <xdr:cNvPr id="35901" name="Rectangle 61"/>
        <xdr:cNvSpPr>
          <a:spLocks noChangeArrowheads="1"/>
        </xdr:cNvSpPr>
      </xdr:nvSpPr>
      <xdr:spPr bwMode="auto">
        <a:xfrm>
          <a:off x="1352550" y="6877050"/>
          <a:ext cx="361950" cy="762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133350</xdr:colOff>
      <xdr:row>28</xdr:row>
      <xdr:rowOff>9525</xdr:rowOff>
    </xdr:from>
    <xdr:to>
      <xdr:col>2</xdr:col>
      <xdr:colOff>219075</xdr:colOff>
      <xdr:row>28</xdr:row>
      <xdr:rowOff>9525</xdr:rowOff>
    </xdr:to>
    <xdr:sp macro="" textlink="">
      <xdr:nvSpPr>
        <xdr:cNvPr id="35902" name="Line 62"/>
        <xdr:cNvSpPr>
          <a:spLocks noChangeShapeType="1"/>
        </xdr:cNvSpPr>
      </xdr:nvSpPr>
      <xdr:spPr bwMode="auto">
        <a:xfrm>
          <a:off x="1352550" y="4619625"/>
          <a:ext cx="85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504825</xdr:colOff>
      <xdr:row>28</xdr:row>
      <xdr:rowOff>0</xdr:rowOff>
    </xdr:from>
    <xdr:to>
      <xdr:col>4</xdr:col>
      <xdr:colOff>28575</xdr:colOff>
      <xdr:row>28</xdr:row>
      <xdr:rowOff>0</xdr:rowOff>
    </xdr:to>
    <xdr:sp macro="" textlink="">
      <xdr:nvSpPr>
        <xdr:cNvPr id="35903" name="Line 63"/>
        <xdr:cNvSpPr>
          <a:spLocks noChangeShapeType="1"/>
        </xdr:cNvSpPr>
      </xdr:nvSpPr>
      <xdr:spPr bwMode="auto">
        <a:xfrm>
          <a:off x="1724025" y="4610100"/>
          <a:ext cx="7429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581025</xdr:colOff>
      <xdr:row>41</xdr:row>
      <xdr:rowOff>152400</xdr:rowOff>
    </xdr:from>
    <xdr:to>
      <xdr:col>4</xdr:col>
      <xdr:colOff>28575</xdr:colOff>
      <xdr:row>41</xdr:row>
      <xdr:rowOff>152400</xdr:rowOff>
    </xdr:to>
    <xdr:sp macro="" textlink="">
      <xdr:nvSpPr>
        <xdr:cNvPr id="35904" name="Line 64"/>
        <xdr:cNvSpPr>
          <a:spLocks noChangeShapeType="1"/>
        </xdr:cNvSpPr>
      </xdr:nvSpPr>
      <xdr:spPr bwMode="auto">
        <a:xfrm>
          <a:off x="1800225" y="6867525"/>
          <a:ext cx="6667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600075</xdr:colOff>
      <xdr:row>28</xdr:row>
      <xdr:rowOff>0</xdr:rowOff>
    </xdr:from>
    <xdr:to>
      <xdr:col>3</xdr:col>
      <xdr:colOff>600075</xdr:colOff>
      <xdr:row>41</xdr:row>
      <xdr:rowOff>152400</xdr:rowOff>
    </xdr:to>
    <xdr:sp macro="" textlink="">
      <xdr:nvSpPr>
        <xdr:cNvPr id="35905" name="Line 65"/>
        <xdr:cNvSpPr>
          <a:spLocks noChangeShapeType="1"/>
        </xdr:cNvSpPr>
      </xdr:nvSpPr>
      <xdr:spPr bwMode="auto">
        <a:xfrm flipV="1">
          <a:off x="2428875" y="4610100"/>
          <a:ext cx="0" cy="2257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523875</xdr:colOff>
      <xdr:row>26</xdr:row>
      <xdr:rowOff>0</xdr:rowOff>
    </xdr:from>
    <xdr:to>
      <xdr:col>4</xdr:col>
      <xdr:colOff>47625</xdr:colOff>
      <xdr:row>26</xdr:row>
      <xdr:rowOff>0</xdr:rowOff>
    </xdr:to>
    <xdr:sp macro="" textlink="">
      <xdr:nvSpPr>
        <xdr:cNvPr id="35906" name="Line 66"/>
        <xdr:cNvSpPr>
          <a:spLocks noChangeShapeType="1"/>
        </xdr:cNvSpPr>
      </xdr:nvSpPr>
      <xdr:spPr bwMode="auto">
        <a:xfrm>
          <a:off x="1743075" y="4286250"/>
          <a:ext cx="7429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238125</xdr:colOff>
      <xdr:row>26</xdr:row>
      <xdr:rowOff>152400</xdr:rowOff>
    </xdr:from>
    <xdr:to>
      <xdr:col>2</xdr:col>
      <xdr:colOff>447675</xdr:colOff>
      <xdr:row>26</xdr:row>
      <xdr:rowOff>152400</xdr:rowOff>
    </xdr:to>
    <xdr:sp macro="" textlink="">
      <xdr:nvSpPr>
        <xdr:cNvPr id="35907" name="Line 67"/>
        <xdr:cNvSpPr>
          <a:spLocks noChangeShapeType="1"/>
        </xdr:cNvSpPr>
      </xdr:nvSpPr>
      <xdr:spPr bwMode="auto">
        <a:xfrm>
          <a:off x="1457325" y="4438650"/>
          <a:ext cx="2095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238125</xdr:colOff>
      <xdr:row>26</xdr:row>
      <xdr:rowOff>76200</xdr:rowOff>
    </xdr:from>
    <xdr:to>
      <xdr:col>2</xdr:col>
      <xdr:colOff>447675</xdr:colOff>
      <xdr:row>26</xdr:row>
      <xdr:rowOff>76200</xdr:rowOff>
    </xdr:to>
    <xdr:sp macro="" textlink="">
      <xdr:nvSpPr>
        <xdr:cNvPr id="35908" name="Line 68"/>
        <xdr:cNvSpPr>
          <a:spLocks noChangeShapeType="1"/>
        </xdr:cNvSpPr>
      </xdr:nvSpPr>
      <xdr:spPr bwMode="auto">
        <a:xfrm>
          <a:off x="1457325" y="4362450"/>
          <a:ext cx="2095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238125</xdr:colOff>
      <xdr:row>26</xdr:row>
      <xdr:rowOff>0</xdr:rowOff>
    </xdr:from>
    <xdr:to>
      <xdr:col>2</xdr:col>
      <xdr:colOff>438150</xdr:colOff>
      <xdr:row>26</xdr:row>
      <xdr:rowOff>0</xdr:rowOff>
    </xdr:to>
    <xdr:sp macro="" textlink="">
      <xdr:nvSpPr>
        <xdr:cNvPr id="35909" name="Line 69"/>
        <xdr:cNvSpPr>
          <a:spLocks noChangeShapeType="1"/>
        </xdr:cNvSpPr>
      </xdr:nvSpPr>
      <xdr:spPr bwMode="auto">
        <a:xfrm>
          <a:off x="1457325" y="4286250"/>
          <a:ext cx="20002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3</xdr:col>
      <xdr:colOff>446119</xdr:colOff>
      <xdr:row>29</xdr:row>
      <xdr:rowOff>103527</xdr:rowOff>
    </xdr:from>
    <xdr:ext cx="479362" cy="1755096"/>
    <xdr:sp macro="" textlink="">
      <xdr:nvSpPr>
        <xdr:cNvPr id="35910" name="Text Box 70"/>
        <xdr:cNvSpPr txBox="1">
          <a:spLocks noChangeArrowheads="1"/>
        </xdr:cNvSpPr>
      </xdr:nvSpPr>
      <xdr:spPr bwMode="auto">
        <a:xfrm>
          <a:off x="2274919" y="4875552"/>
          <a:ext cx="479362" cy="17550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="vert270" wrap="none" lIns="18288" tIns="22860" rIns="18288" bIns="22860" anchor="ctr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20'-0" </a:t>
          </a:r>
          <a:r>
            <a:rPr lang="en-US" sz="1000" b="1" i="0" u="none" strike="noStrike" baseline="0">
              <a:solidFill>
                <a:srgbClr val="FF0000"/>
              </a:solidFill>
              <a:latin typeface="Arial"/>
              <a:cs typeface="Arial"/>
            </a:rPr>
            <a:t>(6096mm)</a:t>
          </a: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  MAX.</a:t>
          </a:r>
        </a:p>
        <a:p>
          <a:pPr algn="ctr" rtl="0">
            <a:lnSpc>
              <a:spcPts val="1000"/>
            </a:lnSpc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[30'-0" </a:t>
          </a:r>
          <a:r>
            <a:rPr lang="en-US" sz="1000" b="1" i="0" u="none" strike="noStrike" baseline="0">
              <a:solidFill>
                <a:srgbClr val="FF0000"/>
              </a:solidFill>
              <a:latin typeface="Arial"/>
              <a:cs typeface="Arial"/>
            </a:rPr>
            <a:t>(9144mm) </a:t>
          </a: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with Cage]</a:t>
          </a:r>
        </a:p>
        <a:p>
          <a:pPr algn="ctr" rtl="0">
            <a:lnSpc>
              <a:spcPts val="1000"/>
            </a:lnSpc>
            <a:defRPr sz="1000"/>
          </a:pPr>
          <a:r>
            <a:rPr lang="en-US" sz="800" b="1" i="1" u="none" strike="noStrike" baseline="0">
              <a:solidFill>
                <a:srgbClr val="FF0000"/>
              </a:solidFill>
              <a:latin typeface="Arial"/>
              <a:cs typeface="Arial"/>
            </a:rPr>
            <a:t>See Notes 8 &amp; 15</a:t>
          </a:r>
          <a:r>
            <a:rPr lang="en-US" sz="1000" b="1" i="0" u="none" strike="noStrike" baseline="0">
              <a:solidFill>
                <a:srgbClr val="FF0000"/>
              </a:solidFill>
              <a:latin typeface="Arial"/>
              <a:cs typeface="Arial"/>
            </a:rPr>
            <a:t> </a:t>
          </a:r>
        </a:p>
      </xdr:txBody>
    </xdr:sp>
    <xdr:clientData/>
  </xdr:oneCellAnchor>
  <xdr:twoCellAnchor>
    <xdr:from>
      <xdr:col>3</xdr:col>
      <xdr:colOff>600075</xdr:colOff>
      <xdr:row>26</xdr:row>
      <xdr:rowOff>0</xdr:rowOff>
    </xdr:from>
    <xdr:to>
      <xdr:col>3</xdr:col>
      <xdr:colOff>600075</xdr:colOff>
      <xdr:row>28</xdr:row>
      <xdr:rowOff>0</xdr:rowOff>
    </xdr:to>
    <xdr:sp macro="" textlink="">
      <xdr:nvSpPr>
        <xdr:cNvPr id="35911" name="Line 71"/>
        <xdr:cNvSpPr>
          <a:spLocks noChangeShapeType="1"/>
        </xdr:cNvSpPr>
      </xdr:nvSpPr>
      <xdr:spPr bwMode="auto">
        <a:xfrm flipV="1">
          <a:off x="2428875" y="4286250"/>
          <a:ext cx="0" cy="32385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600075</xdr:colOff>
      <xdr:row>24</xdr:row>
      <xdr:rowOff>57150</xdr:rowOff>
    </xdr:from>
    <xdr:to>
      <xdr:col>3</xdr:col>
      <xdr:colOff>600075</xdr:colOff>
      <xdr:row>25</xdr:row>
      <xdr:rowOff>152400</xdr:rowOff>
    </xdr:to>
    <xdr:sp macro="" textlink="">
      <xdr:nvSpPr>
        <xdr:cNvPr id="35912" name="Line 72"/>
        <xdr:cNvSpPr>
          <a:spLocks noChangeShapeType="1"/>
        </xdr:cNvSpPr>
      </xdr:nvSpPr>
      <xdr:spPr bwMode="auto">
        <a:xfrm flipV="1">
          <a:off x="2428875" y="4019550"/>
          <a:ext cx="0" cy="25717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600075</xdr:colOff>
      <xdr:row>24</xdr:row>
      <xdr:rowOff>57150</xdr:rowOff>
    </xdr:from>
    <xdr:to>
      <xdr:col>4</xdr:col>
      <xdr:colOff>114300</xdr:colOff>
      <xdr:row>24</xdr:row>
      <xdr:rowOff>57150</xdr:rowOff>
    </xdr:to>
    <xdr:sp macro="" textlink="">
      <xdr:nvSpPr>
        <xdr:cNvPr id="35913" name="Line 73"/>
        <xdr:cNvSpPr>
          <a:spLocks noChangeShapeType="1"/>
        </xdr:cNvSpPr>
      </xdr:nvSpPr>
      <xdr:spPr bwMode="auto">
        <a:xfrm>
          <a:off x="2428875" y="4019550"/>
          <a:ext cx="12382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4</xdr:col>
      <xdr:colOff>180975</xdr:colOff>
      <xdr:row>23</xdr:row>
      <xdr:rowOff>142875</xdr:rowOff>
    </xdr:from>
    <xdr:ext cx="647700" cy="361950"/>
    <xdr:sp macro="" textlink="">
      <xdr:nvSpPr>
        <xdr:cNvPr id="35914" name="Text Box 74"/>
        <xdr:cNvSpPr txBox="1">
          <a:spLocks noChangeArrowheads="1"/>
        </xdr:cNvSpPr>
      </xdr:nvSpPr>
      <xdr:spPr bwMode="auto">
        <a:xfrm>
          <a:off x="2619375" y="3943350"/>
          <a:ext cx="6477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4'-0" Min.</a:t>
          </a:r>
        </a:p>
        <a:p>
          <a:pPr algn="l" rtl="0">
            <a:defRPr sz="1000"/>
          </a:pPr>
          <a:r>
            <a:rPr lang="en-US" sz="1000" b="1" i="0" u="none" strike="noStrike" baseline="0">
              <a:solidFill>
                <a:srgbClr val="FF0000"/>
              </a:solidFill>
              <a:latin typeface="Arial"/>
              <a:cs typeface="Arial"/>
            </a:rPr>
            <a:t>(1219mm)</a:t>
          </a:r>
        </a:p>
      </xdr:txBody>
    </xdr:sp>
    <xdr:clientData/>
  </xdr:oneCellAnchor>
  <xdr:twoCellAnchor>
    <xdr:from>
      <xdr:col>2</xdr:col>
      <xdr:colOff>238125</xdr:colOff>
      <xdr:row>28</xdr:row>
      <xdr:rowOff>85725</xdr:rowOff>
    </xdr:from>
    <xdr:to>
      <xdr:col>2</xdr:col>
      <xdr:colOff>447675</xdr:colOff>
      <xdr:row>28</xdr:row>
      <xdr:rowOff>85725</xdr:rowOff>
    </xdr:to>
    <xdr:sp macro="" textlink="">
      <xdr:nvSpPr>
        <xdr:cNvPr id="35915" name="Line 75"/>
        <xdr:cNvSpPr>
          <a:spLocks noChangeShapeType="1"/>
        </xdr:cNvSpPr>
      </xdr:nvSpPr>
      <xdr:spPr bwMode="auto">
        <a:xfrm flipV="1">
          <a:off x="1457325" y="4695825"/>
          <a:ext cx="2095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247650</xdr:colOff>
      <xdr:row>29</xdr:row>
      <xdr:rowOff>0</xdr:rowOff>
    </xdr:from>
    <xdr:to>
      <xdr:col>2</xdr:col>
      <xdr:colOff>457200</xdr:colOff>
      <xdr:row>29</xdr:row>
      <xdr:rowOff>0</xdr:rowOff>
    </xdr:to>
    <xdr:sp macro="" textlink="">
      <xdr:nvSpPr>
        <xdr:cNvPr id="35916" name="Line 76"/>
        <xdr:cNvSpPr>
          <a:spLocks noChangeShapeType="1"/>
        </xdr:cNvSpPr>
      </xdr:nvSpPr>
      <xdr:spPr bwMode="auto">
        <a:xfrm flipV="1">
          <a:off x="1466850" y="4772025"/>
          <a:ext cx="2095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238125</xdr:colOff>
      <xdr:row>29</xdr:row>
      <xdr:rowOff>76200</xdr:rowOff>
    </xdr:from>
    <xdr:to>
      <xdr:col>2</xdr:col>
      <xdr:colOff>447675</xdr:colOff>
      <xdr:row>29</xdr:row>
      <xdr:rowOff>76200</xdr:rowOff>
    </xdr:to>
    <xdr:sp macro="" textlink="">
      <xdr:nvSpPr>
        <xdr:cNvPr id="35917" name="Line 77"/>
        <xdr:cNvSpPr>
          <a:spLocks noChangeShapeType="1"/>
        </xdr:cNvSpPr>
      </xdr:nvSpPr>
      <xdr:spPr bwMode="auto">
        <a:xfrm flipV="1">
          <a:off x="1457325" y="4848225"/>
          <a:ext cx="2095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228600</xdr:colOff>
      <xdr:row>30</xdr:row>
      <xdr:rowOff>0</xdr:rowOff>
    </xdr:from>
    <xdr:to>
      <xdr:col>2</xdr:col>
      <xdr:colOff>438150</xdr:colOff>
      <xdr:row>30</xdr:row>
      <xdr:rowOff>0</xdr:rowOff>
    </xdr:to>
    <xdr:sp macro="" textlink="">
      <xdr:nvSpPr>
        <xdr:cNvPr id="35918" name="Line 78"/>
        <xdr:cNvSpPr>
          <a:spLocks noChangeShapeType="1"/>
        </xdr:cNvSpPr>
      </xdr:nvSpPr>
      <xdr:spPr bwMode="auto">
        <a:xfrm flipV="1">
          <a:off x="1447800" y="4933950"/>
          <a:ext cx="2095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238125</xdr:colOff>
      <xdr:row>31</xdr:row>
      <xdr:rowOff>0</xdr:rowOff>
    </xdr:from>
    <xdr:to>
      <xdr:col>2</xdr:col>
      <xdr:colOff>447675</xdr:colOff>
      <xdr:row>31</xdr:row>
      <xdr:rowOff>0</xdr:rowOff>
    </xdr:to>
    <xdr:sp macro="" textlink="">
      <xdr:nvSpPr>
        <xdr:cNvPr id="35919" name="Line 79"/>
        <xdr:cNvSpPr>
          <a:spLocks noChangeShapeType="1"/>
        </xdr:cNvSpPr>
      </xdr:nvSpPr>
      <xdr:spPr bwMode="auto">
        <a:xfrm flipV="1">
          <a:off x="1457325" y="5095875"/>
          <a:ext cx="2095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238125</xdr:colOff>
      <xdr:row>31</xdr:row>
      <xdr:rowOff>85725</xdr:rowOff>
    </xdr:from>
    <xdr:to>
      <xdr:col>2</xdr:col>
      <xdr:colOff>447675</xdr:colOff>
      <xdr:row>31</xdr:row>
      <xdr:rowOff>85725</xdr:rowOff>
    </xdr:to>
    <xdr:sp macro="" textlink="">
      <xdr:nvSpPr>
        <xdr:cNvPr id="35920" name="Line 80"/>
        <xdr:cNvSpPr>
          <a:spLocks noChangeShapeType="1"/>
        </xdr:cNvSpPr>
      </xdr:nvSpPr>
      <xdr:spPr bwMode="auto">
        <a:xfrm flipV="1">
          <a:off x="1457325" y="5181600"/>
          <a:ext cx="2095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238125</xdr:colOff>
      <xdr:row>32</xdr:row>
      <xdr:rowOff>0</xdr:rowOff>
    </xdr:from>
    <xdr:to>
      <xdr:col>2</xdr:col>
      <xdr:colOff>447675</xdr:colOff>
      <xdr:row>32</xdr:row>
      <xdr:rowOff>0</xdr:rowOff>
    </xdr:to>
    <xdr:sp macro="" textlink="">
      <xdr:nvSpPr>
        <xdr:cNvPr id="35921" name="Line 81"/>
        <xdr:cNvSpPr>
          <a:spLocks noChangeShapeType="1"/>
        </xdr:cNvSpPr>
      </xdr:nvSpPr>
      <xdr:spPr bwMode="auto">
        <a:xfrm flipV="1">
          <a:off x="1457325" y="5257800"/>
          <a:ext cx="2095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238125</xdr:colOff>
      <xdr:row>32</xdr:row>
      <xdr:rowOff>76200</xdr:rowOff>
    </xdr:from>
    <xdr:to>
      <xdr:col>2</xdr:col>
      <xdr:colOff>447675</xdr:colOff>
      <xdr:row>32</xdr:row>
      <xdr:rowOff>76200</xdr:rowOff>
    </xdr:to>
    <xdr:sp macro="" textlink="">
      <xdr:nvSpPr>
        <xdr:cNvPr id="35922" name="Line 82"/>
        <xdr:cNvSpPr>
          <a:spLocks noChangeShapeType="1"/>
        </xdr:cNvSpPr>
      </xdr:nvSpPr>
      <xdr:spPr bwMode="auto">
        <a:xfrm flipV="1">
          <a:off x="1457325" y="5334000"/>
          <a:ext cx="2095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238125</xdr:colOff>
      <xdr:row>33</xdr:row>
      <xdr:rowOff>0</xdr:rowOff>
    </xdr:from>
    <xdr:to>
      <xdr:col>2</xdr:col>
      <xdr:colOff>447675</xdr:colOff>
      <xdr:row>33</xdr:row>
      <xdr:rowOff>0</xdr:rowOff>
    </xdr:to>
    <xdr:sp macro="" textlink="">
      <xdr:nvSpPr>
        <xdr:cNvPr id="35923" name="Line 83"/>
        <xdr:cNvSpPr>
          <a:spLocks noChangeShapeType="1"/>
        </xdr:cNvSpPr>
      </xdr:nvSpPr>
      <xdr:spPr bwMode="auto">
        <a:xfrm flipV="1">
          <a:off x="1457325" y="5419725"/>
          <a:ext cx="2095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238125</xdr:colOff>
      <xdr:row>33</xdr:row>
      <xdr:rowOff>85725</xdr:rowOff>
    </xdr:from>
    <xdr:to>
      <xdr:col>2</xdr:col>
      <xdr:colOff>447675</xdr:colOff>
      <xdr:row>33</xdr:row>
      <xdr:rowOff>85725</xdr:rowOff>
    </xdr:to>
    <xdr:sp macro="" textlink="">
      <xdr:nvSpPr>
        <xdr:cNvPr id="35924" name="Line 84"/>
        <xdr:cNvSpPr>
          <a:spLocks noChangeShapeType="1"/>
        </xdr:cNvSpPr>
      </xdr:nvSpPr>
      <xdr:spPr bwMode="auto">
        <a:xfrm flipV="1">
          <a:off x="1457325" y="5505450"/>
          <a:ext cx="2095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238125</xdr:colOff>
      <xdr:row>34</xdr:row>
      <xdr:rowOff>0</xdr:rowOff>
    </xdr:from>
    <xdr:to>
      <xdr:col>2</xdr:col>
      <xdr:colOff>447675</xdr:colOff>
      <xdr:row>34</xdr:row>
      <xdr:rowOff>0</xdr:rowOff>
    </xdr:to>
    <xdr:sp macro="" textlink="">
      <xdr:nvSpPr>
        <xdr:cNvPr id="35925" name="Line 85"/>
        <xdr:cNvSpPr>
          <a:spLocks noChangeShapeType="1"/>
        </xdr:cNvSpPr>
      </xdr:nvSpPr>
      <xdr:spPr bwMode="auto">
        <a:xfrm flipV="1">
          <a:off x="1457325" y="5581650"/>
          <a:ext cx="2095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238125</xdr:colOff>
      <xdr:row>34</xdr:row>
      <xdr:rowOff>85725</xdr:rowOff>
    </xdr:from>
    <xdr:to>
      <xdr:col>2</xdr:col>
      <xdr:colOff>447675</xdr:colOff>
      <xdr:row>34</xdr:row>
      <xdr:rowOff>85725</xdr:rowOff>
    </xdr:to>
    <xdr:sp macro="" textlink="">
      <xdr:nvSpPr>
        <xdr:cNvPr id="35926" name="Line 86"/>
        <xdr:cNvSpPr>
          <a:spLocks noChangeShapeType="1"/>
        </xdr:cNvSpPr>
      </xdr:nvSpPr>
      <xdr:spPr bwMode="auto">
        <a:xfrm flipV="1">
          <a:off x="1457325" y="5667375"/>
          <a:ext cx="2095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228600</xdr:colOff>
      <xdr:row>35</xdr:row>
      <xdr:rowOff>0</xdr:rowOff>
    </xdr:from>
    <xdr:to>
      <xdr:col>2</xdr:col>
      <xdr:colOff>438150</xdr:colOff>
      <xdr:row>35</xdr:row>
      <xdr:rowOff>0</xdr:rowOff>
    </xdr:to>
    <xdr:sp macro="" textlink="">
      <xdr:nvSpPr>
        <xdr:cNvPr id="35927" name="Line 87"/>
        <xdr:cNvSpPr>
          <a:spLocks noChangeShapeType="1"/>
        </xdr:cNvSpPr>
      </xdr:nvSpPr>
      <xdr:spPr bwMode="auto">
        <a:xfrm flipV="1">
          <a:off x="1447800" y="5743575"/>
          <a:ext cx="2095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238125</xdr:colOff>
      <xdr:row>35</xdr:row>
      <xdr:rowOff>85725</xdr:rowOff>
    </xdr:from>
    <xdr:to>
      <xdr:col>2</xdr:col>
      <xdr:colOff>447675</xdr:colOff>
      <xdr:row>35</xdr:row>
      <xdr:rowOff>85725</xdr:rowOff>
    </xdr:to>
    <xdr:sp macro="" textlink="">
      <xdr:nvSpPr>
        <xdr:cNvPr id="35928" name="Line 88"/>
        <xdr:cNvSpPr>
          <a:spLocks noChangeShapeType="1"/>
        </xdr:cNvSpPr>
      </xdr:nvSpPr>
      <xdr:spPr bwMode="auto">
        <a:xfrm flipV="1">
          <a:off x="1457325" y="5829300"/>
          <a:ext cx="2095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238125</xdr:colOff>
      <xdr:row>36</xdr:row>
      <xdr:rowOff>0</xdr:rowOff>
    </xdr:from>
    <xdr:to>
      <xdr:col>2</xdr:col>
      <xdr:colOff>447675</xdr:colOff>
      <xdr:row>36</xdr:row>
      <xdr:rowOff>0</xdr:rowOff>
    </xdr:to>
    <xdr:sp macro="" textlink="">
      <xdr:nvSpPr>
        <xdr:cNvPr id="35929" name="Line 89"/>
        <xdr:cNvSpPr>
          <a:spLocks noChangeShapeType="1"/>
        </xdr:cNvSpPr>
      </xdr:nvSpPr>
      <xdr:spPr bwMode="auto">
        <a:xfrm flipV="1">
          <a:off x="1457325" y="5905500"/>
          <a:ext cx="2095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238125</xdr:colOff>
      <xdr:row>36</xdr:row>
      <xdr:rowOff>85725</xdr:rowOff>
    </xdr:from>
    <xdr:to>
      <xdr:col>2</xdr:col>
      <xdr:colOff>447675</xdr:colOff>
      <xdr:row>36</xdr:row>
      <xdr:rowOff>85725</xdr:rowOff>
    </xdr:to>
    <xdr:sp macro="" textlink="">
      <xdr:nvSpPr>
        <xdr:cNvPr id="35930" name="Line 90"/>
        <xdr:cNvSpPr>
          <a:spLocks noChangeShapeType="1"/>
        </xdr:cNvSpPr>
      </xdr:nvSpPr>
      <xdr:spPr bwMode="auto">
        <a:xfrm flipV="1">
          <a:off x="1457325" y="5991225"/>
          <a:ext cx="2095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247650</xdr:colOff>
      <xdr:row>37</xdr:row>
      <xdr:rowOff>0</xdr:rowOff>
    </xdr:from>
    <xdr:to>
      <xdr:col>2</xdr:col>
      <xdr:colOff>457200</xdr:colOff>
      <xdr:row>37</xdr:row>
      <xdr:rowOff>0</xdr:rowOff>
    </xdr:to>
    <xdr:sp macro="" textlink="">
      <xdr:nvSpPr>
        <xdr:cNvPr id="35931" name="Line 91"/>
        <xdr:cNvSpPr>
          <a:spLocks noChangeShapeType="1"/>
        </xdr:cNvSpPr>
      </xdr:nvSpPr>
      <xdr:spPr bwMode="auto">
        <a:xfrm flipV="1">
          <a:off x="1466850" y="6067425"/>
          <a:ext cx="2095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247650</xdr:colOff>
      <xdr:row>37</xdr:row>
      <xdr:rowOff>76200</xdr:rowOff>
    </xdr:from>
    <xdr:to>
      <xdr:col>2</xdr:col>
      <xdr:colOff>457200</xdr:colOff>
      <xdr:row>37</xdr:row>
      <xdr:rowOff>76200</xdr:rowOff>
    </xdr:to>
    <xdr:sp macro="" textlink="">
      <xdr:nvSpPr>
        <xdr:cNvPr id="35932" name="Line 92"/>
        <xdr:cNvSpPr>
          <a:spLocks noChangeShapeType="1"/>
        </xdr:cNvSpPr>
      </xdr:nvSpPr>
      <xdr:spPr bwMode="auto">
        <a:xfrm flipV="1">
          <a:off x="1466850" y="6143625"/>
          <a:ext cx="2095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247650</xdr:colOff>
      <xdr:row>38</xdr:row>
      <xdr:rowOff>0</xdr:rowOff>
    </xdr:from>
    <xdr:to>
      <xdr:col>2</xdr:col>
      <xdr:colOff>457200</xdr:colOff>
      <xdr:row>38</xdr:row>
      <xdr:rowOff>0</xdr:rowOff>
    </xdr:to>
    <xdr:sp macro="" textlink="">
      <xdr:nvSpPr>
        <xdr:cNvPr id="35933" name="Line 93"/>
        <xdr:cNvSpPr>
          <a:spLocks noChangeShapeType="1"/>
        </xdr:cNvSpPr>
      </xdr:nvSpPr>
      <xdr:spPr bwMode="auto">
        <a:xfrm flipV="1">
          <a:off x="1466850" y="6229350"/>
          <a:ext cx="2095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238125</xdr:colOff>
      <xdr:row>38</xdr:row>
      <xdr:rowOff>85725</xdr:rowOff>
    </xdr:from>
    <xdr:to>
      <xdr:col>2</xdr:col>
      <xdr:colOff>447675</xdr:colOff>
      <xdr:row>38</xdr:row>
      <xdr:rowOff>85725</xdr:rowOff>
    </xdr:to>
    <xdr:sp macro="" textlink="">
      <xdr:nvSpPr>
        <xdr:cNvPr id="35934" name="Line 94"/>
        <xdr:cNvSpPr>
          <a:spLocks noChangeShapeType="1"/>
        </xdr:cNvSpPr>
      </xdr:nvSpPr>
      <xdr:spPr bwMode="auto">
        <a:xfrm flipV="1">
          <a:off x="1457325" y="6315075"/>
          <a:ext cx="2095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228600</xdr:colOff>
      <xdr:row>39</xdr:row>
      <xdr:rowOff>0</xdr:rowOff>
    </xdr:from>
    <xdr:to>
      <xdr:col>2</xdr:col>
      <xdr:colOff>438150</xdr:colOff>
      <xdr:row>39</xdr:row>
      <xdr:rowOff>0</xdr:rowOff>
    </xdr:to>
    <xdr:sp macro="" textlink="">
      <xdr:nvSpPr>
        <xdr:cNvPr id="35935" name="Line 95"/>
        <xdr:cNvSpPr>
          <a:spLocks noChangeShapeType="1"/>
        </xdr:cNvSpPr>
      </xdr:nvSpPr>
      <xdr:spPr bwMode="auto">
        <a:xfrm flipV="1">
          <a:off x="1447800" y="6391275"/>
          <a:ext cx="2095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238125</xdr:colOff>
      <xdr:row>39</xdr:row>
      <xdr:rowOff>85725</xdr:rowOff>
    </xdr:from>
    <xdr:to>
      <xdr:col>2</xdr:col>
      <xdr:colOff>447675</xdr:colOff>
      <xdr:row>39</xdr:row>
      <xdr:rowOff>85725</xdr:rowOff>
    </xdr:to>
    <xdr:sp macro="" textlink="">
      <xdr:nvSpPr>
        <xdr:cNvPr id="35936" name="Line 96"/>
        <xdr:cNvSpPr>
          <a:spLocks noChangeShapeType="1"/>
        </xdr:cNvSpPr>
      </xdr:nvSpPr>
      <xdr:spPr bwMode="auto">
        <a:xfrm flipV="1">
          <a:off x="1457325" y="6477000"/>
          <a:ext cx="2095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228600</xdr:colOff>
      <xdr:row>40</xdr:row>
      <xdr:rowOff>0</xdr:rowOff>
    </xdr:from>
    <xdr:to>
      <xdr:col>2</xdr:col>
      <xdr:colOff>438150</xdr:colOff>
      <xdr:row>40</xdr:row>
      <xdr:rowOff>0</xdr:rowOff>
    </xdr:to>
    <xdr:sp macro="" textlink="">
      <xdr:nvSpPr>
        <xdr:cNvPr id="35937" name="Line 97"/>
        <xdr:cNvSpPr>
          <a:spLocks noChangeShapeType="1"/>
        </xdr:cNvSpPr>
      </xdr:nvSpPr>
      <xdr:spPr bwMode="auto">
        <a:xfrm flipV="1">
          <a:off x="1447800" y="6553200"/>
          <a:ext cx="2095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238125</xdr:colOff>
      <xdr:row>40</xdr:row>
      <xdr:rowOff>85725</xdr:rowOff>
    </xdr:from>
    <xdr:to>
      <xdr:col>2</xdr:col>
      <xdr:colOff>447675</xdr:colOff>
      <xdr:row>40</xdr:row>
      <xdr:rowOff>85725</xdr:rowOff>
    </xdr:to>
    <xdr:sp macro="" textlink="">
      <xdr:nvSpPr>
        <xdr:cNvPr id="35938" name="Line 98"/>
        <xdr:cNvSpPr>
          <a:spLocks noChangeShapeType="1"/>
        </xdr:cNvSpPr>
      </xdr:nvSpPr>
      <xdr:spPr bwMode="auto">
        <a:xfrm flipV="1">
          <a:off x="1457325" y="6638925"/>
          <a:ext cx="2095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228600</xdr:colOff>
      <xdr:row>41</xdr:row>
      <xdr:rowOff>0</xdr:rowOff>
    </xdr:from>
    <xdr:to>
      <xdr:col>2</xdr:col>
      <xdr:colOff>438150</xdr:colOff>
      <xdr:row>41</xdr:row>
      <xdr:rowOff>0</xdr:rowOff>
    </xdr:to>
    <xdr:sp macro="" textlink="">
      <xdr:nvSpPr>
        <xdr:cNvPr id="35939" name="Line 99"/>
        <xdr:cNvSpPr>
          <a:spLocks noChangeShapeType="1"/>
        </xdr:cNvSpPr>
      </xdr:nvSpPr>
      <xdr:spPr bwMode="auto">
        <a:xfrm flipV="1">
          <a:off x="1447800" y="6715125"/>
          <a:ext cx="2095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238125</xdr:colOff>
      <xdr:row>41</xdr:row>
      <xdr:rowOff>76200</xdr:rowOff>
    </xdr:from>
    <xdr:to>
      <xdr:col>2</xdr:col>
      <xdr:colOff>447675</xdr:colOff>
      <xdr:row>41</xdr:row>
      <xdr:rowOff>76200</xdr:rowOff>
    </xdr:to>
    <xdr:sp macro="" textlink="">
      <xdr:nvSpPr>
        <xdr:cNvPr id="35940" name="Line 100"/>
        <xdr:cNvSpPr>
          <a:spLocks noChangeShapeType="1"/>
        </xdr:cNvSpPr>
      </xdr:nvSpPr>
      <xdr:spPr bwMode="auto">
        <a:xfrm flipV="1">
          <a:off x="1457325" y="6791325"/>
          <a:ext cx="2095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342900</xdr:colOff>
      <xdr:row>22</xdr:row>
      <xdr:rowOff>85725</xdr:rowOff>
    </xdr:from>
    <xdr:to>
      <xdr:col>2</xdr:col>
      <xdr:colOff>342900</xdr:colOff>
      <xdr:row>27</xdr:row>
      <xdr:rowOff>114300</xdr:rowOff>
    </xdr:to>
    <xdr:sp macro="" textlink="">
      <xdr:nvSpPr>
        <xdr:cNvPr id="35941" name="Line 101"/>
        <xdr:cNvSpPr>
          <a:spLocks noChangeShapeType="1"/>
        </xdr:cNvSpPr>
      </xdr:nvSpPr>
      <xdr:spPr bwMode="auto">
        <a:xfrm flipV="1">
          <a:off x="1562100" y="3724275"/>
          <a:ext cx="0" cy="8382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171450</xdr:colOff>
      <xdr:row>23</xdr:row>
      <xdr:rowOff>38100</xdr:rowOff>
    </xdr:from>
    <xdr:to>
      <xdr:col>2</xdr:col>
      <xdr:colOff>171450</xdr:colOff>
      <xdr:row>27</xdr:row>
      <xdr:rowOff>133350</xdr:rowOff>
    </xdr:to>
    <xdr:sp macro="" textlink="">
      <xdr:nvSpPr>
        <xdr:cNvPr id="35942" name="Line 102"/>
        <xdr:cNvSpPr>
          <a:spLocks noChangeShapeType="1"/>
        </xdr:cNvSpPr>
      </xdr:nvSpPr>
      <xdr:spPr bwMode="auto">
        <a:xfrm flipV="1">
          <a:off x="1390650" y="3838575"/>
          <a:ext cx="0" cy="74295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504825</xdr:colOff>
      <xdr:row>23</xdr:row>
      <xdr:rowOff>9525</xdr:rowOff>
    </xdr:from>
    <xdr:to>
      <xdr:col>2</xdr:col>
      <xdr:colOff>504825</xdr:colOff>
      <xdr:row>41</xdr:row>
      <xdr:rowOff>85725</xdr:rowOff>
    </xdr:to>
    <xdr:sp macro="" textlink="">
      <xdr:nvSpPr>
        <xdr:cNvPr id="35943" name="Line 103"/>
        <xdr:cNvSpPr>
          <a:spLocks noChangeShapeType="1"/>
        </xdr:cNvSpPr>
      </xdr:nvSpPr>
      <xdr:spPr bwMode="auto">
        <a:xfrm flipV="1">
          <a:off x="1724025" y="3810000"/>
          <a:ext cx="0" cy="299085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161925</xdr:colOff>
      <xdr:row>23</xdr:row>
      <xdr:rowOff>76200</xdr:rowOff>
    </xdr:from>
    <xdr:to>
      <xdr:col>2</xdr:col>
      <xdr:colOff>504825</xdr:colOff>
      <xdr:row>23</xdr:row>
      <xdr:rowOff>76200</xdr:rowOff>
    </xdr:to>
    <xdr:sp macro="" textlink="">
      <xdr:nvSpPr>
        <xdr:cNvPr id="35944" name="Line 104"/>
        <xdr:cNvSpPr>
          <a:spLocks noChangeShapeType="1"/>
        </xdr:cNvSpPr>
      </xdr:nvSpPr>
      <xdr:spPr bwMode="auto">
        <a:xfrm>
          <a:off x="1381125" y="3876675"/>
          <a:ext cx="34290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323850</xdr:colOff>
      <xdr:row>23</xdr:row>
      <xdr:rowOff>47625</xdr:rowOff>
    </xdr:from>
    <xdr:to>
      <xdr:col>2</xdr:col>
      <xdr:colOff>361950</xdr:colOff>
      <xdr:row>23</xdr:row>
      <xdr:rowOff>104775</xdr:rowOff>
    </xdr:to>
    <xdr:sp macro="" textlink="">
      <xdr:nvSpPr>
        <xdr:cNvPr id="35945" name="Line 105"/>
        <xdr:cNvSpPr>
          <a:spLocks noChangeShapeType="1"/>
        </xdr:cNvSpPr>
      </xdr:nvSpPr>
      <xdr:spPr bwMode="auto">
        <a:xfrm flipH="1">
          <a:off x="1543050" y="3848100"/>
          <a:ext cx="38100" cy="5715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314325</xdr:colOff>
      <xdr:row>23</xdr:row>
      <xdr:rowOff>47625</xdr:rowOff>
    </xdr:from>
    <xdr:to>
      <xdr:col>2</xdr:col>
      <xdr:colOff>371475</xdr:colOff>
      <xdr:row>23</xdr:row>
      <xdr:rowOff>114300</xdr:rowOff>
    </xdr:to>
    <xdr:sp macro="" textlink="">
      <xdr:nvSpPr>
        <xdr:cNvPr id="35946" name="Line 106"/>
        <xdr:cNvSpPr>
          <a:spLocks noChangeShapeType="1"/>
        </xdr:cNvSpPr>
      </xdr:nvSpPr>
      <xdr:spPr bwMode="auto">
        <a:xfrm>
          <a:off x="1533525" y="3848100"/>
          <a:ext cx="57150" cy="6667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295275</xdr:colOff>
      <xdr:row>22</xdr:row>
      <xdr:rowOff>76200</xdr:rowOff>
    </xdr:from>
    <xdr:to>
      <xdr:col>2</xdr:col>
      <xdr:colOff>390525</xdr:colOff>
      <xdr:row>23</xdr:row>
      <xdr:rowOff>76200</xdr:rowOff>
    </xdr:to>
    <xdr:sp macro="" textlink="">
      <xdr:nvSpPr>
        <xdr:cNvPr id="35947" name="Line 107"/>
        <xdr:cNvSpPr>
          <a:spLocks noChangeShapeType="1"/>
        </xdr:cNvSpPr>
      </xdr:nvSpPr>
      <xdr:spPr bwMode="auto">
        <a:xfrm flipV="1">
          <a:off x="1514475" y="3714750"/>
          <a:ext cx="9525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390525</xdr:colOff>
      <xdr:row>22</xdr:row>
      <xdr:rowOff>76200</xdr:rowOff>
    </xdr:from>
    <xdr:to>
      <xdr:col>3</xdr:col>
      <xdr:colOff>209550</xdr:colOff>
      <xdr:row>22</xdr:row>
      <xdr:rowOff>76200</xdr:rowOff>
    </xdr:to>
    <xdr:sp macro="" textlink="">
      <xdr:nvSpPr>
        <xdr:cNvPr id="35948" name="Line 108"/>
        <xdr:cNvSpPr>
          <a:spLocks noChangeShapeType="1"/>
        </xdr:cNvSpPr>
      </xdr:nvSpPr>
      <xdr:spPr bwMode="auto">
        <a:xfrm>
          <a:off x="1609725" y="3714750"/>
          <a:ext cx="4286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371475</xdr:colOff>
      <xdr:row>22</xdr:row>
      <xdr:rowOff>66675</xdr:rowOff>
    </xdr:from>
    <xdr:to>
      <xdr:col>2</xdr:col>
      <xdr:colOff>466725</xdr:colOff>
      <xdr:row>23</xdr:row>
      <xdr:rowOff>66675</xdr:rowOff>
    </xdr:to>
    <xdr:sp macro="" textlink="">
      <xdr:nvSpPr>
        <xdr:cNvPr id="35949" name="Line 109"/>
        <xdr:cNvSpPr>
          <a:spLocks noChangeShapeType="1"/>
        </xdr:cNvSpPr>
      </xdr:nvSpPr>
      <xdr:spPr bwMode="auto">
        <a:xfrm flipV="1">
          <a:off x="1590675" y="3705225"/>
          <a:ext cx="9525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3</xdr:col>
      <xdr:colOff>266700</xdr:colOff>
      <xdr:row>21</xdr:row>
      <xdr:rowOff>123825</xdr:rowOff>
    </xdr:from>
    <xdr:ext cx="1228725" cy="361950"/>
    <xdr:sp macro="" textlink="">
      <xdr:nvSpPr>
        <xdr:cNvPr id="35950" name="Text Box 110"/>
        <xdr:cNvSpPr txBox="1">
          <a:spLocks noChangeArrowheads="1"/>
        </xdr:cNvSpPr>
      </xdr:nvSpPr>
      <xdr:spPr bwMode="auto">
        <a:xfrm>
          <a:off x="2095500" y="3600450"/>
          <a:ext cx="1228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1'-3" Clr. Min.</a:t>
          </a:r>
        </a:p>
        <a:p>
          <a:pPr algn="l" rtl="0">
            <a:defRPr sz="1000"/>
          </a:pPr>
          <a:r>
            <a:rPr lang="en-US" sz="1000" b="1" i="0" u="none" strike="noStrike" baseline="0">
              <a:solidFill>
                <a:srgbClr val="FF0000"/>
              </a:solidFill>
              <a:latin typeface="Arial"/>
              <a:cs typeface="Arial"/>
            </a:rPr>
            <a:t>(381mm) </a:t>
          </a:r>
          <a:r>
            <a:rPr lang="en-US" sz="800" b="1" i="1" u="none" strike="noStrike" baseline="0">
              <a:solidFill>
                <a:srgbClr val="FF0000"/>
              </a:solidFill>
              <a:latin typeface="Arial"/>
              <a:cs typeface="Arial"/>
            </a:rPr>
            <a:t>See Note 12</a:t>
          </a:r>
        </a:p>
      </xdr:txBody>
    </xdr:sp>
    <xdr:clientData/>
  </xdr:oneCellAnchor>
  <xdr:twoCellAnchor>
    <xdr:from>
      <xdr:col>1</xdr:col>
      <xdr:colOff>247650</xdr:colOff>
      <xdr:row>35</xdr:row>
      <xdr:rowOff>0</xdr:rowOff>
    </xdr:from>
    <xdr:to>
      <xdr:col>2</xdr:col>
      <xdr:colOff>209550</xdr:colOff>
      <xdr:row>35</xdr:row>
      <xdr:rowOff>0</xdr:rowOff>
    </xdr:to>
    <xdr:sp macro="" textlink="">
      <xdr:nvSpPr>
        <xdr:cNvPr id="35951" name="Line 111"/>
        <xdr:cNvSpPr>
          <a:spLocks noChangeShapeType="1"/>
        </xdr:cNvSpPr>
      </xdr:nvSpPr>
      <xdr:spPr bwMode="auto">
        <a:xfrm flipH="1">
          <a:off x="857250" y="5743575"/>
          <a:ext cx="57150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247650</xdr:colOff>
      <xdr:row>35</xdr:row>
      <xdr:rowOff>85725</xdr:rowOff>
    </xdr:from>
    <xdr:to>
      <xdr:col>2</xdr:col>
      <xdr:colOff>209550</xdr:colOff>
      <xdr:row>35</xdr:row>
      <xdr:rowOff>85725</xdr:rowOff>
    </xdr:to>
    <xdr:sp macro="" textlink="">
      <xdr:nvSpPr>
        <xdr:cNvPr id="35952" name="Line 112"/>
        <xdr:cNvSpPr>
          <a:spLocks noChangeShapeType="1"/>
        </xdr:cNvSpPr>
      </xdr:nvSpPr>
      <xdr:spPr bwMode="auto">
        <a:xfrm flipH="1">
          <a:off x="857250" y="5829300"/>
          <a:ext cx="57150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285750</xdr:colOff>
      <xdr:row>32</xdr:row>
      <xdr:rowOff>114300</xdr:rowOff>
    </xdr:from>
    <xdr:to>
      <xdr:col>1</xdr:col>
      <xdr:colOff>285750</xdr:colOff>
      <xdr:row>35</xdr:row>
      <xdr:rowOff>0</xdr:rowOff>
    </xdr:to>
    <xdr:sp macro="" textlink="">
      <xdr:nvSpPr>
        <xdr:cNvPr id="35953" name="Line 113"/>
        <xdr:cNvSpPr>
          <a:spLocks noChangeShapeType="1"/>
        </xdr:cNvSpPr>
      </xdr:nvSpPr>
      <xdr:spPr bwMode="auto">
        <a:xfrm flipV="1">
          <a:off x="895350" y="5372100"/>
          <a:ext cx="0" cy="37147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285750</xdr:colOff>
      <xdr:row>35</xdr:row>
      <xdr:rowOff>0</xdr:rowOff>
    </xdr:from>
    <xdr:to>
      <xdr:col>1</xdr:col>
      <xdr:colOff>285750</xdr:colOff>
      <xdr:row>35</xdr:row>
      <xdr:rowOff>85725</xdr:rowOff>
    </xdr:to>
    <xdr:sp macro="" textlink="">
      <xdr:nvSpPr>
        <xdr:cNvPr id="35954" name="Line 114"/>
        <xdr:cNvSpPr>
          <a:spLocks noChangeShapeType="1"/>
        </xdr:cNvSpPr>
      </xdr:nvSpPr>
      <xdr:spPr bwMode="auto">
        <a:xfrm>
          <a:off x="895350" y="5743575"/>
          <a:ext cx="0" cy="857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285750</xdr:colOff>
      <xdr:row>35</xdr:row>
      <xdr:rowOff>95250</xdr:rowOff>
    </xdr:from>
    <xdr:to>
      <xdr:col>1</xdr:col>
      <xdr:colOff>285750</xdr:colOff>
      <xdr:row>37</xdr:row>
      <xdr:rowOff>38100</xdr:rowOff>
    </xdr:to>
    <xdr:sp macro="" textlink="">
      <xdr:nvSpPr>
        <xdr:cNvPr id="35955" name="Line 115"/>
        <xdr:cNvSpPr>
          <a:spLocks noChangeShapeType="1"/>
        </xdr:cNvSpPr>
      </xdr:nvSpPr>
      <xdr:spPr bwMode="auto">
        <a:xfrm>
          <a:off x="895350" y="5838825"/>
          <a:ext cx="0" cy="2667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0</xdr:col>
      <xdr:colOff>47625</xdr:colOff>
      <xdr:row>32</xdr:row>
      <xdr:rowOff>9525</xdr:rowOff>
    </xdr:from>
    <xdr:ext cx="628650" cy="495300"/>
    <xdr:sp macro="" textlink="">
      <xdr:nvSpPr>
        <xdr:cNvPr id="35956" name="Text Box 116"/>
        <xdr:cNvSpPr txBox="1">
          <a:spLocks noChangeArrowheads="1"/>
        </xdr:cNvSpPr>
      </xdr:nvSpPr>
      <xdr:spPr bwMode="auto">
        <a:xfrm>
          <a:off x="47625" y="5267325"/>
          <a:ext cx="6286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12" Max</a:t>
          </a:r>
        </a:p>
        <a:p>
          <a:pPr algn="l" rtl="0">
            <a:defRPr sz="1000"/>
          </a:pPr>
          <a:r>
            <a:rPr lang="en-US" sz="1000" b="1" i="0" u="none" strike="noStrike" baseline="0">
              <a:solidFill>
                <a:srgbClr val="FF0000"/>
              </a:solidFill>
              <a:latin typeface="Arial"/>
              <a:cs typeface="Arial"/>
            </a:rPr>
            <a:t>(305mm)</a:t>
          </a:r>
        </a:p>
        <a:p>
          <a:pPr algn="l" rtl="0">
            <a:defRPr sz="1000"/>
          </a:pPr>
          <a:r>
            <a:rPr lang="en-US" sz="800" b="1" i="1" u="none" strike="noStrike" baseline="0">
              <a:solidFill>
                <a:srgbClr val="FF0000"/>
              </a:solidFill>
              <a:latin typeface="Arial"/>
              <a:cs typeface="Arial"/>
            </a:rPr>
            <a:t>See Note 7</a:t>
          </a:r>
        </a:p>
      </xdr:txBody>
    </xdr:sp>
    <xdr:clientData/>
  </xdr:oneCellAnchor>
  <xdr:twoCellAnchor>
    <xdr:from>
      <xdr:col>1</xdr:col>
      <xdr:colOff>57150</xdr:colOff>
      <xdr:row>32</xdr:row>
      <xdr:rowOff>114300</xdr:rowOff>
    </xdr:from>
    <xdr:to>
      <xdr:col>1</xdr:col>
      <xdr:colOff>295275</xdr:colOff>
      <xdr:row>32</xdr:row>
      <xdr:rowOff>114300</xdr:rowOff>
    </xdr:to>
    <xdr:sp macro="" textlink="">
      <xdr:nvSpPr>
        <xdr:cNvPr id="35957" name="Line 117"/>
        <xdr:cNvSpPr>
          <a:spLocks noChangeShapeType="1"/>
        </xdr:cNvSpPr>
      </xdr:nvSpPr>
      <xdr:spPr bwMode="auto">
        <a:xfrm flipH="1">
          <a:off x="666750" y="5372100"/>
          <a:ext cx="23812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0</xdr:col>
      <xdr:colOff>152400</xdr:colOff>
      <xdr:row>38</xdr:row>
      <xdr:rowOff>38100</xdr:rowOff>
    </xdr:from>
    <xdr:ext cx="981075" cy="171450"/>
    <xdr:sp macro="" textlink="">
      <xdr:nvSpPr>
        <xdr:cNvPr id="35958" name="Text Box 118"/>
        <xdr:cNvSpPr txBox="1">
          <a:spLocks noChangeArrowheads="1"/>
        </xdr:cNvSpPr>
      </xdr:nvSpPr>
      <xdr:spPr bwMode="auto">
        <a:xfrm>
          <a:off x="152400" y="6267450"/>
          <a:ext cx="98107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0" anchor="t" upright="1">
          <a:spAutoFit/>
        </a:bodyPr>
        <a:lstStyle/>
        <a:p>
          <a:pPr algn="l" rtl="0">
            <a:defRPr sz="1000"/>
          </a:pPr>
          <a:r>
            <a:rPr lang="en-US" sz="800" b="1" i="1" u="none" strike="noStrike" baseline="0">
              <a:solidFill>
                <a:srgbClr val="000000"/>
              </a:solidFill>
              <a:latin typeface="Arial"/>
              <a:cs typeface="Arial"/>
            </a:rPr>
            <a:t>Side Step Ladder</a:t>
          </a:r>
        </a:p>
      </xdr:txBody>
    </xdr:sp>
    <xdr:clientData/>
  </xdr:oneCellAnchor>
  <xdr:twoCellAnchor>
    <xdr:from>
      <xdr:col>1</xdr:col>
      <xdr:colOff>495300</xdr:colOff>
      <xdr:row>38</xdr:row>
      <xdr:rowOff>123825</xdr:rowOff>
    </xdr:from>
    <xdr:to>
      <xdr:col>2</xdr:col>
      <xdr:colOff>257175</xdr:colOff>
      <xdr:row>39</xdr:row>
      <xdr:rowOff>57150</xdr:rowOff>
    </xdr:to>
    <xdr:sp macro="" textlink="">
      <xdr:nvSpPr>
        <xdr:cNvPr id="35959" name="Line 119"/>
        <xdr:cNvSpPr>
          <a:spLocks noChangeShapeType="1"/>
        </xdr:cNvSpPr>
      </xdr:nvSpPr>
      <xdr:spPr bwMode="auto">
        <a:xfrm flipH="1" flipV="1">
          <a:off x="1104900" y="6353175"/>
          <a:ext cx="371475" cy="95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381000</xdr:colOff>
      <xdr:row>26</xdr:row>
      <xdr:rowOff>95250</xdr:rowOff>
    </xdr:from>
    <xdr:to>
      <xdr:col>4</xdr:col>
      <xdr:colOff>57150</xdr:colOff>
      <xdr:row>28</xdr:row>
      <xdr:rowOff>9525</xdr:rowOff>
    </xdr:to>
    <xdr:sp macro="" textlink="">
      <xdr:nvSpPr>
        <xdr:cNvPr id="35960" name="Line 120"/>
        <xdr:cNvSpPr>
          <a:spLocks noChangeShapeType="1"/>
        </xdr:cNvSpPr>
      </xdr:nvSpPr>
      <xdr:spPr bwMode="auto">
        <a:xfrm flipV="1">
          <a:off x="2209800" y="4381500"/>
          <a:ext cx="285750" cy="2381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oval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47625</xdr:colOff>
      <xdr:row>26</xdr:row>
      <xdr:rowOff>95250</xdr:rowOff>
    </xdr:from>
    <xdr:to>
      <xdr:col>4</xdr:col>
      <xdr:colOff>152400</xdr:colOff>
      <xdr:row>26</xdr:row>
      <xdr:rowOff>95250</xdr:rowOff>
    </xdr:to>
    <xdr:sp macro="" textlink="">
      <xdr:nvSpPr>
        <xdr:cNvPr id="35961" name="Line 121"/>
        <xdr:cNvSpPr>
          <a:spLocks noChangeShapeType="1"/>
        </xdr:cNvSpPr>
      </xdr:nvSpPr>
      <xdr:spPr bwMode="auto">
        <a:xfrm>
          <a:off x="2486025" y="4381500"/>
          <a:ext cx="1047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4</xdr:col>
      <xdr:colOff>180975</xdr:colOff>
      <xdr:row>26</xdr:row>
      <xdr:rowOff>0</xdr:rowOff>
    </xdr:from>
    <xdr:ext cx="895350" cy="304800"/>
    <xdr:sp macro="" textlink="">
      <xdr:nvSpPr>
        <xdr:cNvPr id="35962" name="Text Box 122"/>
        <xdr:cNvSpPr txBox="1">
          <a:spLocks noChangeArrowheads="1"/>
        </xdr:cNvSpPr>
      </xdr:nvSpPr>
      <xdr:spPr bwMode="auto">
        <a:xfrm>
          <a:off x="2619375" y="4286250"/>
          <a:ext cx="8953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0" anchor="t" upright="1">
          <a:spAutoFit/>
        </a:bodyPr>
        <a:lstStyle/>
        <a:p>
          <a:pPr algn="l" rtl="0">
            <a:defRPr sz="1000"/>
          </a:pPr>
          <a:r>
            <a:rPr lang="en-US" sz="800" b="1" i="1" u="none" strike="noStrike" baseline="0">
              <a:solidFill>
                <a:srgbClr val="000000"/>
              </a:solidFill>
              <a:latin typeface="Arial"/>
              <a:cs typeface="Arial"/>
            </a:rPr>
            <a:t>Top of Rung &amp;</a:t>
          </a:r>
        </a:p>
        <a:p>
          <a:pPr algn="l" rtl="0">
            <a:defRPr sz="1000"/>
          </a:pPr>
          <a:r>
            <a:rPr lang="en-US" sz="800" b="1" i="1" u="none" strike="noStrike" baseline="0">
              <a:solidFill>
                <a:srgbClr val="000000"/>
              </a:solidFill>
              <a:latin typeface="Arial"/>
              <a:cs typeface="Arial"/>
            </a:rPr>
            <a:t>Top of Landing</a:t>
          </a:r>
        </a:p>
      </xdr:txBody>
    </xdr:sp>
    <xdr:clientData/>
  </xdr:oneCellAnchor>
  <xdr:oneCellAnchor>
    <xdr:from>
      <xdr:col>0</xdr:col>
      <xdr:colOff>571500</xdr:colOff>
      <xdr:row>43</xdr:row>
      <xdr:rowOff>9525</xdr:rowOff>
    </xdr:from>
    <xdr:ext cx="2511521" cy="238783"/>
    <xdr:sp macro="" textlink="">
      <xdr:nvSpPr>
        <xdr:cNvPr id="35963" name="Text Box 123"/>
        <xdr:cNvSpPr txBox="1">
          <a:spLocks noChangeArrowheads="1"/>
        </xdr:cNvSpPr>
      </xdr:nvSpPr>
      <xdr:spPr bwMode="auto">
        <a:xfrm>
          <a:off x="571500" y="7048500"/>
          <a:ext cx="2511521" cy="2387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2004" rIns="0" bIns="0" anchor="t" upright="1">
          <a:spAutoFit/>
        </a:bodyPr>
        <a:lstStyle/>
        <a:p>
          <a:pPr algn="l" rtl="0">
            <a:defRPr sz="1000"/>
          </a:pPr>
          <a:r>
            <a:rPr lang="en-US" sz="1400" b="1" i="0" u="sng" strike="noStrike" baseline="0">
              <a:solidFill>
                <a:srgbClr val="0000FF"/>
              </a:solidFill>
              <a:latin typeface="Roman"/>
            </a:rPr>
            <a:t>Offset Fixed Ladder Sections</a:t>
          </a:r>
        </a:p>
      </xdr:txBody>
    </xdr:sp>
    <xdr:clientData/>
  </xdr:oneCellAnchor>
  <xdr:oneCellAnchor>
    <xdr:from>
      <xdr:col>1</xdr:col>
      <xdr:colOff>504825</xdr:colOff>
      <xdr:row>44</xdr:row>
      <xdr:rowOff>76200</xdr:rowOff>
    </xdr:from>
    <xdr:ext cx="990600" cy="200025"/>
    <xdr:sp macro="" textlink="">
      <xdr:nvSpPr>
        <xdr:cNvPr id="35964" name="Text Box 124"/>
        <xdr:cNvSpPr txBox="1">
          <a:spLocks noChangeArrowheads="1"/>
        </xdr:cNvSpPr>
      </xdr:nvSpPr>
      <xdr:spPr bwMode="auto">
        <a:xfrm>
          <a:off x="1114425" y="7277100"/>
          <a:ext cx="9906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Front Elevation</a:t>
          </a:r>
        </a:p>
      </xdr:txBody>
    </xdr:sp>
    <xdr:clientData/>
  </xdr:oneCellAnchor>
  <xdr:twoCellAnchor>
    <xdr:from>
      <xdr:col>7</xdr:col>
      <xdr:colOff>1933575</xdr:colOff>
      <xdr:row>49</xdr:row>
      <xdr:rowOff>152400</xdr:rowOff>
    </xdr:from>
    <xdr:to>
      <xdr:col>7</xdr:col>
      <xdr:colOff>1933575</xdr:colOff>
      <xdr:row>59</xdr:row>
      <xdr:rowOff>9525</xdr:rowOff>
    </xdr:to>
    <xdr:sp macro="" textlink="">
      <xdr:nvSpPr>
        <xdr:cNvPr id="35965" name="Line 125"/>
        <xdr:cNvSpPr>
          <a:spLocks noChangeShapeType="1"/>
        </xdr:cNvSpPr>
      </xdr:nvSpPr>
      <xdr:spPr bwMode="auto">
        <a:xfrm flipH="1">
          <a:off x="6200775" y="8162925"/>
          <a:ext cx="0" cy="147637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FF6600" mc:Ignorable="a14" a14:legacySpreadsheetColorIndex="53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1962150</xdr:colOff>
      <xdr:row>51</xdr:row>
      <xdr:rowOff>19050</xdr:rowOff>
    </xdr:from>
    <xdr:to>
      <xdr:col>7</xdr:col>
      <xdr:colOff>2057400</xdr:colOff>
      <xdr:row>51</xdr:row>
      <xdr:rowOff>104775</xdr:rowOff>
    </xdr:to>
    <xdr:sp macro="" textlink="">
      <xdr:nvSpPr>
        <xdr:cNvPr id="35967" name="Oval 127"/>
        <xdr:cNvSpPr>
          <a:spLocks noChangeArrowheads="1"/>
        </xdr:cNvSpPr>
      </xdr:nvSpPr>
      <xdr:spPr bwMode="auto">
        <a:xfrm>
          <a:off x="6229350" y="8353425"/>
          <a:ext cx="95250" cy="8572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9050">
          <a:solidFill>
            <a:srgbClr xmlns:mc="http://schemas.openxmlformats.org/markup-compatibility/2006" xmlns:a14="http://schemas.microsoft.com/office/drawing/2010/main" val="FF6600" mc:Ignorable="a14" a14:legacySpreadsheetColorIndex="53"/>
          </a:solidFill>
          <a:round/>
          <a:headEnd/>
          <a:tailEnd/>
        </a:ln>
      </xdr:spPr>
    </xdr:sp>
    <xdr:clientData/>
  </xdr:twoCellAnchor>
  <xdr:twoCellAnchor>
    <xdr:from>
      <xdr:col>7</xdr:col>
      <xdr:colOff>1971675</xdr:colOff>
      <xdr:row>56</xdr:row>
      <xdr:rowOff>114300</xdr:rowOff>
    </xdr:from>
    <xdr:to>
      <xdr:col>7</xdr:col>
      <xdr:colOff>2066925</xdr:colOff>
      <xdr:row>57</xdr:row>
      <xdr:rowOff>38100</xdr:rowOff>
    </xdr:to>
    <xdr:sp macro="" textlink="">
      <xdr:nvSpPr>
        <xdr:cNvPr id="35968" name="Oval 128"/>
        <xdr:cNvSpPr>
          <a:spLocks noChangeArrowheads="1"/>
        </xdr:cNvSpPr>
      </xdr:nvSpPr>
      <xdr:spPr bwMode="auto">
        <a:xfrm>
          <a:off x="6238875" y="9258300"/>
          <a:ext cx="95250" cy="8572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9050">
          <a:solidFill>
            <a:srgbClr xmlns:mc="http://schemas.openxmlformats.org/markup-compatibility/2006" xmlns:a14="http://schemas.microsoft.com/office/drawing/2010/main" val="FF6600" mc:Ignorable="a14" a14:legacySpreadsheetColorIndex="53"/>
          </a:solidFill>
          <a:round/>
          <a:headEnd/>
          <a:tailEnd/>
        </a:ln>
      </xdr:spPr>
    </xdr:sp>
    <xdr:clientData/>
  </xdr:twoCellAnchor>
  <xdr:twoCellAnchor>
    <xdr:from>
      <xdr:col>7</xdr:col>
      <xdr:colOff>2095500</xdr:colOff>
      <xdr:row>50</xdr:row>
      <xdr:rowOff>38100</xdr:rowOff>
    </xdr:from>
    <xdr:to>
      <xdr:col>7</xdr:col>
      <xdr:colOff>2095500</xdr:colOff>
      <xdr:row>59</xdr:row>
      <xdr:rowOff>57150</xdr:rowOff>
    </xdr:to>
    <xdr:sp macro="" textlink="">
      <xdr:nvSpPr>
        <xdr:cNvPr id="35969" name="Line 129"/>
        <xdr:cNvSpPr>
          <a:spLocks noChangeShapeType="1"/>
        </xdr:cNvSpPr>
      </xdr:nvSpPr>
      <xdr:spPr bwMode="auto">
        <a:xfrm flipH="1">
          <a:off x="6362700" y="8210550"/>
          <a:ext cx="0" cy="147637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FF6600" mc:Ignorable="a14" a14:legacySpreadsheetColorIndex="53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2095500</xdr:colOff>
      <xdr:row>52</xdr:row>
      <xdr:rowOff>47625</xdr:rowOff>
    </xdr:from>
    <xdr:to>
      <xdr:col>7</xdr:col>
      <xdr:colOff>2581275</xdr:colOff>
      <xdr:row>52</xdr:row>
      <xdr:rowOff>85725</xdr:rowOff>
    </xdr:to>
    <xdr:sp macro="" textlink="">
      <xdr:nvSpPr>
        <xdr:cNvPr id="35970" name="Rectangle 130"/>
        <xdr:cNvSpPr>
          <a:spLocks noChangeArrowheads="1"/>
        </xdr:cNvSpPr>
      </xdr:nvSpPr>
      <xdr:spPr bwMode="auto">
        <a:xfrm>
          <a:off x="6362700" y="8543925"/>
          <a:ext cx="485775" cy="381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1905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2095500</xdr:colOff>
      <xdr:row>55</xdr:row>
      <xdr:rowOff>9525</xdr:rowOff>
    </xdr:from>
    <xdr:to>
      <xdr:col>7</xdr:col>
      <xdr:colOff>2581275</xdr:colOff>
      <xdr:row>55</xdr:row>
      <xdr:rowOff>47625</xdr:rowOff>
    </xdr:to>
    <xdr:sp macro="" textlink="">
      <xdr:nvSpPr>
        <xdr:cNvPr id="35971" name="Rectangle 131"/>
        <xdr:cNvSpPr>
          <a:spLocks noChangeArrowheads="1"/>
        </xdr:cNvSpPr>
      </xdr:nvSpPr>
      <xdr:spPr bwMode="auto">
        <a:xfrm>
          <a:off x="6362700" y="8991600"/>
          <a:ext cx="485775" cy="381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1905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2333625</xdr:colOff>
      <xdr:row>52</xdr:row>
      <xdr:rowOff>85725</xdr:rowOff>
    </xdr:from>
    <xdr:to>
      <xdr:col>7</xdr:col>
      <xdr:colOff>2362200</xdr:colOff>
      <xdr:row>55</xdr:row>
      <xdr:rowOff>0</xdr:rowOff>
    </xdr:to>
    <xdr:sp macro="" textlink="">
      <xdr:nvSpPr>
        <xdr:cNvPr id="35973" name="Rectangle 133"/>
        <xdr:cNvSpPr>
          <a:spLocks noChangeArrowheads="1"/>
        </xdr:cNvSpPr>
      </xdr:nvSpPr>
      <xdr:spPr bwMode="auto">
        <a:xfrm>
          <a:off x="6600825" y="8582025"/>
          <a:ext cx="28575" cy="4000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1905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2000250</xdr:colOff>
      <xdr:row>51</xdr:row>
      <xdr:rowOff>66675</xdr:rowOff>
    </xdr:from>
    <xdr:to>
      <xdr:col>7</xdr:col>
      <xdr:colOff>3352800</xdr:colOff>
      <xdr:row>51</xdr:row>
      <xdr:rowOff>66675</xdr:rowOff>
    </xdr:to>
    <xdr:sp macro="" textlink="">
      <xdr:nvSpPr>
        <xdr:cNvPr id="35974" name="Line 134"/>
        <xdr:cNvSpPr>
          <a:spLocks noChangeShapeType="1"/>
        </xdr:cNvSpPr>
      </xdr:nvSpPr>
      <xdr:spPr bwMode="auto">
        <a:xfrm>
          <a:off x="6267450" y="8401050"/>
          <a:ext cx="13525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2609850</xdr:colOff>
      <xdr:row>52</xdr:row>
      <xdr:rowOff>38100</xdr:rowOff>
    </xdr:from>
    <xdr:to>
      <xdr:col>7</xdr:col>
      <xdr:colOff>3362325</xdr:colOff>
      <xdr:row>52</xdr:row>
      <xdr:rowOff>38100</xdr:rowOff>
    </xdr:to>
    <xdr:sp macro="" textlink="">
      <xdr:nvSpPr>
        <xdr:cNvPr id="35975" name="Line 135"/>
        <xdr:cNvSpPr>
          <a:spLocks noChangeShapeType="1"/>
        </xdr:cNvSpPr>
      </xdr:nvSpPr>
      <xdr:spPr bwMode="auto">
        <a:xfrm>
          <a:off x="6877050" y="8534400"/>
          <a:ext cx="75247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2609850</xdr:colOff>
      <xdr:row>55</xdr:row>
      <xdr:rowOff>47625</xdr:rowOff>
    </xdr:from>
    <xdr:to>
      <xdr:col>7</xdr:col>
      <xdr:colOff>3362325</xdr:colOff>
      <xdr:row>55</xdr:row>
      <xdr:rowOff>47625</xdr:rowOff>
    </xdr:to>
    <xdr:sp macro="" textlink="">
      <xdr:nvSpPr>
        <xdr:cNvPr id="35976" name="Line 136"/>
        <xdr:cNvSpPr>
          <a:spLocks noChangeShapeType="1"/>
        </xdr:cNvSpPr>
      </xdr:nvSpPr>
      <xdr:spPr bwMode="auto">
        <a:xfrm>
          <a:off x="6877050" y="9029700"/>
          <a:ext cx="75247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1866900</xdr:colOff>
      <xdr:row>49</xdr:row>
      <xdr:rowOff>133350</xdr:rowOff>
    </xdr:from>
    <xdr:to>
      <xdr:col>7</xdr:col>
      <xdr:colOff>2171700</xdr:colOff>
      <xdr:row>50</xdr:row>
      <xdr:rowOff>76200</xdr:rowOff>
    </xdr:to>
    <xdr:sp macro="" textlink="">
      <xdr:nvSpPr>
        <xdr:cNvPr id="35977" name="Line 137"/>
        <xdr:cNvSpPr>
          <a:spLocks noChangeShapeType="1"/>
        </xdr:cNvSpPr>
      </xdr:nvSpPr>
      <xdr:spPr bwMode="auto">
        <a:xfrm>
          <a:off x="6134100" y="8143875"/>
          <a:ext cx="304800" cy="1047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1971675</xdr:colOff>
      <xdr:row>49</xdr:row>
      <xdr:rowOff>123825</xdr:rowOff>
    </xdr:from>
    <xdr:to>
      <xdr:col>7</xdr:col>
      <xdr:colOff>2009775</xdr:colOff>
      <xdr:row>50</xdr:row>
      <xdr:rowOff>9525</xdr:rowOff>
    </xdr:to>
    <xdr:sp macro="" textlink="">
      <xdr:nvSpPr>
        <xdr:cNvPr id="35978" name="Line 138"/>
        <xdr:cNvSpPr>
          <a:spLocks noChangeShapeType="1"/>
        </xdr:cNvSpPr>
      </xdr:nvSpPr>
      <xdr:spPr bwMode="auto">
        <a:xfrm flipV="1">
          <a:off x="6238875" y="8134350"/>
          <a:ext cx="38100" cy="476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2009775</xdr:colOff>
      <xdr:row>49</xdr:row>
      <xdr:rowOff>123825</xdr:rowOff>
    </xdr:from>
    <xdr:to>
      <xdr:col>7</xdr:col>
      <xdr:colOff>2019300</xdr:colOff>
      <xdr:row>50</xdr:row>
      <xdr:rowOff>76200</xdr:rowOff>
    </xdr:to>
    <xdr:sp macro="" textlink="">
      <xdr:nvSpPr>
        <xdr:cNvPr id="35979" name="Line 139"/>
        <xdr:cNvSpPr>
          <a:spLocks noChangeShapeType="1"/>
        </xdr:cNvSpPr>
      </xdr:nvSpPr>
      <xdr:spPr bwMode="auto">
        <a:xfrm>
          <a:off x="6276975" y="8134350"/>
          <a:ext cx="9525" cy="1143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2019300</xdr:colOff>
      <xdr:row>50</xdr:row>
      <xdr:rowOff>38100</xdr:rowOff>
    </xdr:from>
    <xdr:to>
      <xdr:col>7</xdr:col>
      <xdr:colOff>2066925</xdr:colOff>
      <xdr:row>50</xdr:row>
      <xdr:rowOff>76200</xdr:rowOff>
    </xdr:to>
    <xdr:sp macro="" textlink="">
      <xdr:nvSpPr>
        <xdr:cNvPr id="35980" name="Line 140"/>
        <xdr:cNvSpPr>
          <a:spLocks noChangeShapeType="1"/>
        </xdr:cNvSpPr>
      </xdr:nvSpPr>
      <xdr:spPr bwMode="auto">
        <a:xfrm flipV="1">
          <a:off x="6286500" y="8210550"/>
          <a:ext cx="47625" cy="381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1847850</xdr:colOff>
      <xdr:row>58</xdr:row>
      <xdr:rowOff>133350</xdr:rowOff>
    </xdr:from>
    <xdr:to>
      <xdr:col>7</xdr:col>
      <xdr:colOff>2152650</xdr:colOff>
      <xdr:row>59</xdr:row>
      <xdr:rowOff>76200</xdr:rowOff>
    </xdr:to>
    <xdr:sp macro="" textlink="">
      <xdr:nvSpPr>
        <xdr:cNvPr id="35981" name="Line 141"/>
        <xdr:cNvSpPr>
          <a:spLocks noChangeShapeType="1"/>
        </xdr:cNvSpPr>
      </xdr:nvSpPr>
      <xdr:spPr bwMode="auto">
        <a:xfrm>
          <a:off x="6115050" y="9601200"/>
          <a:ext cx="304800" cy="1047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1962150</xdr:colOff>
      <xdr:row>58</xdr:row>
      <xdr:rowOff>123825</xdr:rowOff>
    </xdr:from>
    <xdr:to>
      <xdr:col>7</xdr:col>
      <xdr:colOff>2000250</xdr:colOff>
      <xdr:row>59</xdr:row>
      <xdr:rowOff>9525</xdr:rowOff>
    </xdr:to>
    <xdr:sp macro="" textlink="">
      <xdr:nvSpPr>
        <xdr:cNvPr id="35982" name="Line 142"/>
        <xdr:cNvSpPr>
          <a:spLocks noChangeShapeType="1"/>
        </xdr:cNvSpPr>
      </xdr:nvSpPr>
      <xdr:spPr bwMode="auto">
        <a:xfrm flipV="1">
          <a:off x="6229350" y="9591675"/>
          <a:ext cx="38100" cy="476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2000250</xdr:colOff>
      <xdr:row>58</xdr:row>
      <xdr:rowOff>123825</xdr:rowOff>
    </xdr:from>
    <xdr:to>
      <xdr:col>7</xdr:col>
      <xdr:colOff>2009775</xdr:colOff>
      <xdr:row>59</xdr:row>
      <xdr:rowOff>114300</xdr:rowOff>
    </xdr:to>
    <xdr:sp macro="" textlink="">
      <xdr:nvSpPr>
        <xdr:cNvPr id="35983" name="Line 143"/>
        <xdr:cNvSpPr>
          <a:spLocks noChangeShapeType="1"/>
        </xdr:cNvSpPr>
      </xdr:nvSpPr>
      <xdr:spPr bwMode="auto">
        <a:xfrm flipH="1">
          <a:off x="6267450" y="9591675"/>
          <a:ext cx="9525" cy="1524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2000250</xdr:colOff>
      <xdr:row>59</xdr:row>
      <xdr:rowOff>47625</xdr:rowOff>
    </xdr:from>
    <xdr:to>
      <xdr:col>7</xdr:col>
      <xdr:colOff>2057400</xdr:colOff>
      <xdr:row>59</xdr:row>
      <xdr:rowOff>123825</xdr:rowOff>
    </xdr:to>
    <xdr:sp macro="" textlink="">
      <xdr:nvSpPr>
        <xdr:cNvPr id="35984" name="Line 144"/>
        <xdr:cNvSpPr>
          <a:spLocks noChangeShapeType="1"/>
        </xdr:cNvSpPr>
      </xdr:nvSpPr>
      <xdr:spPr bwMode="auto">
        <a:xfrm flipV="1">
          <a:off x="6267450" y="9677400"/>
          <a:ext cx="57150" cy="762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2009775</xdr:colOff>
      <xdr:row>57</xdr:row>
      <xdr:rowOff>0</xdr:rowOff>
    </xdr:from>
    <xdr:to>
      <xdr:col>7</xdr:col>
      <xdr:colOff>3362325</xdr:colOff>
      <xdr:row>57</xdr:row>
      <xdr:rowOff>0</xdr:rowOff>
    </xdr:to>
    <xdr:sp macro="" textlink="">
      <xdr:nvSpPr>
        <xdr:cNvPr id="35985" name="Line 145"/>
        <xdr:cNvSpPr>
          <a:spLocks noChangeShapeType="1"/>
        </xdr:cNvSpPr>
      </xdr:nvSpPr>
      <xdr:spPr bwMode="auto">
        <a:xfrm>
          <a:off x="6276975" y="9305925"/>
          <a:ext cx="13525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3228975</xdr:colOff>
      <xdr:row>48</xdr:row>
      <xdr:rowOff>133350</xdr:rowOff>
    </xdr:from>
    <xdr:to>
      <xdr:col>7</xdr:col>
      <xdr:colOff>3228975</xdr:colOff>
      <xdr:row>51</xdr:row>
      <xdr:rowOff>66675</xdr:rowOff>
    </xdr:to>
    <xdr:sp macro="" textlink="">
      <xdr:nvSpPr>
        <xdr:cNvPr id="35986" name="Line 146"/>
        <xdr:cNvSpPr>
          <a:spLocks noChangeShapeType="1"/>
        </xdr:cNvSpPr>
      </xdr:nvSpPr>
      <xdr:spPr bwMode="auto">
        <a:xfrm flipV="1">
          <a:off x="7496175" y="7981950"/>
          <a:ext cx="0" cy="41910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3219450</xdr:colOff>
      <xdr:row>54</xdr:row>
      <xdr:rowOff>28575</xdr:rowOff>
    </xdr:from>
    <xdr:to>
      <xdr:col>7</xdr:col>
      <xdr:colOff>3219450</xdr:colOff>
      <xdr:row>55</xdr:row>
      <xdr:rowOff>47625</xdr:rowOff>
    </xdr:to>
    <xdr:sp macro="" textlink="">
      <xdr:nvSpPr>
        <xdr:cNvPr id="35987" name="Line 147"/>
        <xdr:cNvSpPr>
          <a:spLocks noChangeShapeType="1"/>
        </xdr:cNvSpPr>
      </xdr:nvSpPr>
      <xdr:spPr bwMode="auto">
        <a:xfrm flipV="1">
          <a:off x="7486650" y="8848725"/>
          <a:ext cx="0" cy="18097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3228975</xdr:colOff>
      <xdr:row>51</xdr:row>
      <xdr:rowOff>66675</xdr:rowOff>
    </xdr:from>
    <xdr:to>
      <xdr:col>7</xdr:col>
      <xdr:colOff>3228975</xdr:colOff>
      <xdr:row>52</xdr:row>
      <xdr:rowOff>38100</xdr:rowOff>
    </xdr:to>
    <xdr:sp macro="" textlink="">
      <xdr:nvSpPr>
        <xdr:cNvPr id="35988" name="Line 148"/>
        <xdr:cNvSpPr>
          <a:spLocks noChangeShapeType="1"/>
        </xdr:cNvSpPr>
      </xdr:nvSpPr>
      <xdr:spPr bwMode="auto">
        <a:xfrm>
          <a:off x="7496175" y="8401050"/>
          <a:ext cx="0" cy="13335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3228975</xdr:colOff>
      <xdr:row>52</xdr:row>
      <xdr:rowOff>38100</xdr:rowOff>
    </xdr:from>
    <xdr:to>
      <xdr:col>7</xdr:col>
      <xdr:colOff>3228975</xdr:colOff>
      <xdr:row>53</xdr:row>
      <xdr:rowOff>66675</xdr:rowOff>
    </xdr:to>
    <xdr:sp macro="" textlink="">
      <xdr:nvSpPr>
        <xdr:cNvPr id="35989" name="Line 149"/>
        <xdr:cNvSpPr>
          <a:spLocks noChangeShapeType="1"/>
        </xdr:cNvSpPr>
      </xdr:nvSpPr>
      <xdr:spPr bwMode="auto">
        <a:xfrm>
          <a:off x="7496175" y="8534400"/>
          <a:ext cx="0" cy="19050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3219450</xdr:colOff>
      <xdr:row>55</xdr:row>
      <xdr:rowOff>47625</xdr:rowOff>
    </xdr:from>
    <xdr:to>
      <xdr:col>7</xdr:col>
      <xdr:colOff>3219450</xdr:colOff>
      <xdr:row>57</xdr:row>
      <xdr:rowOff>0</xdr:rowOff>
    </xdr:to>
    <xdr:sp macro="" textlink="">
      <xdr:nvSpPr>
        <xdr:cNvPr id="35990" name="Line 150"/>
        <xdr:cNvSpPr>
          <a:spLocks noChangeShapeType="1"/>
        </xdr:cNvSpPr>
      </xdr:nvSpPr>
      <xdr:spPr bwMode="auto">
        <a:xfrm>
          <a:off x="7486650" y="9029700"/>
          <a:ext cx="0" cy="2762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3219450</xdr:colOff>
      <xdr:row>57</xdr:row>
      <xdr:rowOff>9525</xdr:rowOff>
    </xdr:from>
    <xdr:to>
      <xdr:col>7</xdr:col>
      <xdr:colOff>3219450</xdr:colOff>
      <xdr:row>58</xdr:row>
      <xdr:rowOff>38100</xdr:rowOff>
    </xdr:to>
    <xdr:sp macro="" textlink="">
      <xdr:nvSpPr>
        <xdr:cNvPr id="35991" name="Line 151"/>
        <xdr:cNvSpPr>
          <a:spLocks noChangeShapeType="1"/>
        </xdr:cNvSpPr>
      </xdr:nvSpPr>
      <xdr:spPr bwMode="auto">
        <a:xfrm>
          <a:off x="7486650" y="9315450"/>
          <a:ext cx="0" cy="19050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7</xdr:col>
      <xdr:colOff>3409950</xdr:colOff>
      <xdr:row>48</xdr:row>
      <xdr:rowOff>38100</xdr:rowOff>
    </xdr:from>
    <xdr:ext cx="714375" cy="361950"/>
    <xdr:sp macro="" textlink="">
      <xdr:nvSpPr>
        <xdr:cNvPr id="35992" name="Text Box 152"/>
        <xdr:cNvSpPr txBox="1">
          <a:spLocks noChangeArrowheads="1"/>
        </xdr:cNvSpPr>
      </xdr:nvSpPr>
      <xdr:spPr bwMode="auto">
        <a:xfrm>
          <a:off x="7677150" y="7886700"/>
          <a:ext cx="7143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1-1/2" MIN.</a:t>
          </a:r>
        </a:p>
        <a:p>
          <a:pPr algn="l" rtl="0">
            <a:defRPr sz="1000"/>
          </a:pPr>
          <a:r>
            <a:rPr lang="en-US" sz="1000" b="1" i="0" u="none" strike="noStrike" baseline="0">
              <a:solidFill>
                <a:srgbClr val="FF0000"/>
              </a:solidFill>
              <a:latin typeface="Arial"/>
              <a:cs typeface="Arial"/>
            </a:rPr>
            <a:t>(38mm)</a:t>
          </a:r>
        </a:p>
      </xdr:txBody>
    </xdr:sp>
    <xdr:clientData/>
  </xdr:oneCellAnchor>
  <xdr:twoCellAnchor>
    <xdr:from>
      <xdr:col>7</xdr:col>
      <xdr:colOff>3228975</xdr:colOff>
      <xdr:row>48</xdr:row>
      <xdr:rowOff>133350</xdr:rowOff>
    </xdr:from>
    <xdr:to>
      <xdr:col>7</xdr:col>
      <xdr:colOff>3400425</xdr:colOff>
      <xdr:row>48</xdr:row>
      <xdr:rowOff>133350</xdr:rowOff>
    </xdr:to>
    <xdr:sp macro="" textlink="">
      <xdr:nvSpPr>
        <xdr:cNvPr id="35993" name="Line 153"/>
        <xdr:cNvSpPr>
          <a:spLocks noChangeShapeType="1"/>
        </xdr:cNvSpPr>
      </xdr:nvSpPr>
      <xdr:spPr bwMode="auto">
        <a:xfrm flipH="1">
          <a:off x="7496175" y="7981950"/>
          <a:ext cx="1714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3219450</xdr:colOff>
      <xdr:row>58</xdr:row>
      <xdr:rowOff>28575</xdr:rowOff>
    </xdr:from>
    <xdr:to>
      <xdr:col>7</xdr:col>
      <xdr:colOff>3371850</xdr:colOff>
      <xdr:row>58</xdr:row>
      <xdr:rowOff>28575</xdr:rowOff>
    </xdr:to>
    <xdr:sp macro="" textlink="">
      <xdr:nvSpPr>
        <xdr:cNvPr id="35994" name="Line 154"/>
        <xdr:cNvSpPr>
          <a:spLocks noChangeShapeType="1"/>
        </xdr:cNvSpPr>
      </xdr:nvSpPr>
      <xdr:spPr bwMode="auto">
        <a:xfrm>
          <a:off x="7486650" y="9496425"/>
          <a:ext cx="15240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7</xdr:col>
      <xdr:colOff>3457575</xdr:colOff>
      <xdr:row>57</xdr:row>
      <xdr:rowOff>47625</xdr:rowOff>
    </xdr:from>
    <xdr:ext cx="714375" cy="361950"/>
    <xdr:sp macro="" textlink="">
      <xdr:nvSpPr>
        <xdr:cNvPr id="35995" name="Text Box 155"/>
        <xdr:cNvSpPr txBox="1">
          <a:spLocks noChangeArrowheads="1"/>
        </xdr:cNvSpPr>
      </xdr:nvSpPr>
      <xdr:spPr bwMode="auto">
        <a:xfrm>
          <a:off x="7724775" y="9353550"/>
          <a:ext cx="7143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4-1/2" MIN.</a:t>
          </a:r>
        </a:p>
        <a:p>
          <a:pPr algn="l" rtl="0">
            <a:defRPr sz="1000"/>
          </a:pPr>
          <a:r>
            <a:rPr lang="en-US" sz="1000" b="1" i="0" u="none" strike="noStrike" baseline="0">
              <a:solidFill>
                <a:srgbClr val="FF0000"/>
              </a:solidFill>
              <a:latin typeface="Arial"/>
              <a:cs typeface="Arial"/>
            </a:rPr>
            <a:t>(114mm)</a:t>
          </a:r>
        </a:p>
      </xdr:txBody>
    </xdr:sp>
    <xdr:clientData/>
  </xdr:oneCellAnchor>
  <xdr:oneCellAnchor>
    <xdr:from>
      <xdr:col>7</xdr:col>
      <xdr:colOff>1159165</xdr:colOff>
      <xdr:row>59</xdr:row>
      <xdr:rowOff>152400</xdr:rowOff>
    </xdr:from>
    <xdr:ext cx="3387146" cy="445250"/>
    <xdr:sp macro="" textlink="">
      <xdr:nvSpPr>
        <xdr:cNvPr id="35996" name="Text Box 156"/>
        <xdr:cNvSpPr txBox="1">
          <a:spLocks noChangeArrowheads="1"/>
        </xdr:cNvSpPr>
      </xdr:nvSpPr>
      <xdr:spPr bwMode="auto">
        <a:xfrm>
          <a:off x="5426365" y="9782175"/>
          <a:ext cx="3387146" cy="44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2004" rIns="27432" bIns="0" anchor="t" upright="1">
          <a:spAutoFit/>
        </a:bodyPr>
        <a:lstStyle/>
        <a:p>
          <a:pPr algn="ctr" rtl="0">
            <a:lnSpc>
              <a:spcPts val="1500"/>
            </a:lnSpc>
            <a:defRPr sz="1000"/>
          </a:pPr>
          <a:r>
            <a:rPr lang="en-US" sz="1400" b="1" i="0" u="sng" strike="noStrike" baseline="0">
              <a:solidFill>
                <a:srgbClr val="0000FF"/>
              </a:solidFill>
              <a:latin typeface="Roman"/>
            </a:rPr>
            <a:t>Clearance for Unavoidable Obstruction</a:t>
          </a:r>
        </a:p>
        <a:p>
          <a:pPr algn="ctr" rtl="0">
            <a:lnSpc>
              <a:spcPts val="1400"/>
            </a:lnSpc>
            <a:defRPr sz="1000"/>
          </a:pPr>
          <a:r>
            <a:rPr lang="en-US" sz="1400" b="1" i="0" u="sng" strike="noStrike" baseline="0">
              <a:solidFill>
                <a:srgbClr val="0000FF"/>
              </a:solidFill>
              <a:latin typeface="Roman"/>
            </a:rPr>
            <a:t>at Rear of Ladder</a:t>
          </a:r>
        </a:p>
      </xdr:txBody>
    </xdr:sp>
    <xdr:clientData/>
  </xdr:oneCellAnchor>
  <xdr:oneCellAnchor>
    <xdr:from>
      <xdr:col>7</xdr:col>
      <xdr:colOff>2466975</xdr:colOff>
      <xdr:row>62</xdr:row>
      <xdr:rowOff>123825</xdr:rowOff>
    </xdr:from>
    <xdr:ext cx="685800" cy="171450"/>
    <xdr:sp macro="" textlink="">
      <xdr:nvSpPr>
        <xdr:cNvPr id="35997" name="Text Box 157"/>
        <xdr:cNvSpPr txBox="1">
          <a:spLocks noChangeArrowheads="1"/>
        </xdr:cNvSpPr>
      </xdr:nvSpPr>
      <xdr:spPr bwMode="auto">
        <a:xfrm>
          <a:off x="6734175" y="10239375"/>
          <a:ext cx="6858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0" anchor="t" upright="1">
          <a:spAutoFit/>
        </a:bodyPr>
        <a:lstStyle/>
        <a:p>
          <a:pPr algn="l" rtl="0">
            <a:defRPr sz="1000"/>
          </a:pPr>
          <a:r>
            <a:rPr lang="en-US" sz="800" b="1" i="1" u="none" strike="noStrike" baseline="0">
              <a:solidFill>
                <a:srgbClr val="FF0000"/>
              </a:solidFill>
              <a:latin typeface="Arial"/>
              <a:cs typeface="Arial"/>
            </a:rPr>
            <a:t>See Note 13</a:t>
          </a:r>
        </a:p>
      </xdr:txBody>
    </xdr:sp>
    <xdr:clientData/>
  </xdr:oneCellAnchor>
  <xdr:twoCellAnchor>
    <xdr:from>
      <xdr:col>3</xdr:col>
      <xdr:colOff>304800</xdr:colOff>
      <xdr:row>48</xdr:row>
      <xdr:rowOff>152400</xdr:rowOff>
    </xdr:from>
    <xdr:to>
      <xdr:col>3</xdr:col>
      <xdr:colOff>361950</xdr:colOff>
      <xdr:row>75</xdr:row>
      <xdr:rowOff>152400</xdr:rowOff>
    </xdr:to>
    <xdr:sp macro="" textlink="">
      <xdr:nvSpPr>
        <xdr:cNvPr id="35998" name="Rectangle 158"/>
        <xdr:cNvSpPr>
          <a:spLocks noChangeArrowheads="1"/>
        </xdr:cNvSpPr>
      </xdr:nvSpPr>
      <xdr:spPr bwMode="auto">
        <a:xfrm>
          <a:off x="2133600" y="8001000"/>
          <a:ext cx="57150" cy="43719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9050">
          <a:solidFill>
            <a:srgbClr xmlns:mc="http://schemas.openxmlformats.org/markup-compatibility/2006" xmlns:a14="http://schemas.microsoft.com/office/drawing/2010/main" val="FF6600" mc:Ignorable="a14" a14:legacySpreadsheetColorIndex="53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485775</xdr:colOff>
      <xdr:row>76</xdr:row>
      <xdr:rowOff>0</xdr:rowOff>
    </xdr:from>
    <xdr:to>
      <xdr:col>3</xdr:col>
      <xdr:colOff>504825</xdr:colOff>
      <xdr:row>76</xdr:row>
      <xdr:rowOff>66675</xdr:rowOff>
    </xdr:to>
    <xdr:sp macro="" textlink="">
      <xdr:nvSpPr>
        <xdr:cNvPr id="35999" name="Rectangle 159"/>
        <xdr:cNvSpPr>
          <a:spLocks noChangeArrowheads="1"/>
        </xdr:cNvSpPr>
      </xdr:nvSpPr>
      <xdr:spPr bwMode="auto">
        <a:xfrm>
          <a:off x="1095375" y="12382500"/>
          <a:ext cx="1238250" cy="666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476250</xdr:colOff>
      <xdr:row>72</xdr:row>
      <xdr:rowOff>38100</xdr:rowOff>
    </xdr:from>
    <xdr:to>
      <xdr:col>1</xdr:col>
      <xdr:colOff>504825</xdr:colOff>
      <xdr:row>76</xdr:row>
      <xdr:rowOff>0</xdr:rowOff>
    </xdr:to>
    <xdr:sp macro="" textlink="">
      <xdr:nvSpPr>
        <xdr:cNvPr id="36000" name="Rectangle 160"/>
        <xdr:cNvSpPr>
          <a:spLocks noChangeArrowheads="1"/>
        </xdr:cNvSpPr>
      </xdr:nvSpPr>
      <xdr:spPr bwMode="auto">
        <a:xfrm flipH="1">
          <a:off x="1085850" y="11772900"/>
          <a:ext cx="28575" cy="609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409575</xdr:colOff>
      <xdr:row>49</xdr:row>
      <xdr:rowOff>9525</xdr:rowOff>
    </xdr:from>
    <xdr:to>
      <xdr:col>3</xdr:col>
      <xdr:colOff>447675</xdr:colOff>
      <xdr:row>49</xdr:row>
      <xdr:rowOff>57150</xdr:rowOff>
    </xdr:to>
    <xdr:sp macro="" textlink="">
      <xdr:nvSpPr>
        <xdr:cNvPr id="36001" name="Rectangle 161"/>
        <xdr:cNvSpPr>
          <a:spLocks noChangeArrowheads="1"/>
        </xdr:cNvSpPr>
      </xdr:nvSpPr>
      <xdr:spPr bwMode="auto">
        <a:xfrm>
          <a:off x="1628775" y="8020050"/>
          <a:ext cx="647700" cy="476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390525</xdr:colOff>
      <xdr:row>53</xdr:row>
      <xdr:rowOff>114300</xdr:rowOff>
    </xdr:from>
    <xdr:to>
      <xdr:col>3</xdr:col>
      <xdr:colOff>428625</xdr:colOff>
      <xdr:row>54</xdr:row>
      <xdr:rowOff>0</xdr:rowOff>
    </xdr:to>
    <xdr:sp macro="" textlink="">
      <xdr:nvSpPr>
        <xdr:cNvPr id="36002" name="Rectangle 162"/>
        <xdr:cNvSpPr>
          <a:spLocks noChangeArrowheads="1"/>
        </xdr:cNvSpPr>
      </xdr:nvSpPr>
      <xdr:spPr bwMode="auto">
        <a:xfrm>
          <a:off x="1609725" y="8772525"/>
          <a:ext cx="647700" cy="476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381000</xdr:colOff>
      <xdr:row>58</xdr:row>
      <xdr:rowOff>38100</xdr:rowOff>
    </xdr:from>
    <xdr:to>
      <xdr:col>3</xdr:col>
      <xdr:colOff>419100</xdr:colOff>
      <xdr:row>58</xdr:row>
      <xdr:rowOff>85725</xdr:rowOff>
    </xdr:to>
    <xdr:sp macro="" textlink="">
      <xdr:nvSpPr>
        <xdr:cNvPr id="36003" name="Rectangle 163"/>
        <xdr:cNvSpPr>
          <a:spLocks noChangeArrowheads="1"/>
        </xdr:cNvSpPr>
      </xdr:nvSpPr>
      <xdr:spPr bwMode="auto">
        <a:xfrm>
          <a:off x="1600200" y="9505950"/>
          <a:ext cx="647700" cy="476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371475</xdr:colOff>
      <xdr:row>62</xdr:row>
      <xdr:rowOff>152400</xdr:rowOff>
    </xdr:from>
    <xdr:to>
      <xdr:col>3</xdr:col>
      <xdr:colOff>409575</xdr:colOff>
      <xdr:row>63</xdr:row>
      <xdr:rowOff>38100</xdr:rowOff>
    </xdr:to>
    <xdr:sp macro="" textlink="">
      <xdr:nvSpPr>
        <xdr:cNvPr id="36004" name="Rectangle 164"/>
        <xdr:cNvSpPr>
          <a:spLocks noChangeArrowheads="1"/>
        </xdr:cNvSpPr>
      </xdr:nvSpPr>
      <xdr:spPr bwMode="auto">
        <a:xfrm>
          <a:off x="1590675" y="10267950"/>
          <a:ext cx="647700" cy="476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247650</xdr:colOff>
      <xdr:row>67</xdr:row>
      <xdr:rowOff>66675</xdr:rowOff>
    </xdr:from>
    <xdr:to>
      <xdr:col>3</xdr:col>
      <xdr:colOff>428625</xdr:colOff>
      <xdr:row>67</xdr:row>
      <xdr:rowOff>123825</xdr:rowOff>
    </xdr:to>
    <xdr:sp macro="" textlink="">
      <xdr:nvSpPr>
        <xdr:cNvPr id="36005" name="Rectangle 165"/>
        <xdr:cNvSpPr>
          <a:spLocks noChangeArrowheads="1"/>
        </xdr:cNvSpPr>
      </xdr:nvSpPr>
      <xdr:spPr bwMode="auto">
        <a:xfrm>
          <a:off x="1466850" y="10991850"/>
          <a:ext cx="790575" cy="571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63</xdr:row>
      <xdr:rowOff>38100</xdr:rowOff>
    </xdr:from>
    <xdr:to>
      <xdr:col>2</xdr:col>
      <xdr:colOff>400050</xdr:colOff>
      <xdr:row>67</xdr:row>
      <xdr:rowOff>76200</xdr:rowOff>
    </xdr:to>
    <xdr:sp macro="" textlink="">
      <xdr:nvSpPr>
        <xdr:cNvPr id="36006" name="Line 166"/>
        <xdr:cNvSpPr>
          <a:spLocks noChangeShapeType="1"/>
        </xdr:cNvSpPr>
      </xdr:nvSpPr>
      <xdr:spPr bwMode="auto">
        <a:xfrm flipV="1">
          <a:off x="1485900" y="10315575"/>
          <a:ext cx="133350" cy="6858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409575</xdr:colOff>
      <xdr:row>58</xdr:row>
      <xdr:rowOff>85725</xdr:rowOff>
    </xdr:from>
    <xdr:to>
      <xdr:col>2</xdr:col>
      <xdr:colOff>409575</xdr:colOff>
      <xdr:row>62</xdr:row>
      <xdr:rowOff>142875</xdr:rowOff>
    </xdr:to>
    <xdr:sp macro="" textlink="">
      <xdr:nvSpPr>
        <xdr:cNvPr id="36007" name="Line 167"/>
        <xdr:cNvSpPr>
          <a:spLocks noChangeShapeType="1"/>
        </xdr:cNvSpPr>
      </xdr:nvSpPr>
      <xdr:spPr bwMode="auto">
        <a:xfrm flipV="1">
          <a:off x="1628775" y="9553575"/>
          <a:ext cx="0" cy="704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409575</xdr:colOff>
      <xdr:row>54</xdr:row>
      <xdr:rowOff>0</xdr:rowOff>
    </xdr:from>
    <xdr:to>
      <xdr:col>2</xdr:col>
      <xdr:colOff>409575</xdr:colOff>
      <xdr:row>58</xdr:row>
      <xdr:rowOff>38100</xdr:rowOff>
    </xdr:to>
    <xdr:sp macro="" textlink="">
      <xdr:nvSpPr>
        <xdr:cNvPr id="36008" name="Line 168"/>
        <xdr:cNvSpPr>
          <a:spLocks noChangeShapeType="1"/>
        </xdr:cNvSpPr>
      </xdr:nvSpPr>
      <xdr:spPr bwMode="auto">
        <a:xfrm flipV="1">
          <a:off x="1628775" y="8820150"/>
          <a:ext cx="0" cy="6858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409575</xdr:colOff>
      <xdr:row>49</xdr:row>
      <xdr:rowOff>66675</xdr:rowOff>
    </xdr:from>
    <xdr:to>
      <xdr:col>2</xdr:col>
      <xdr:colOff>409575</xdr:colOff>
      <xdr:row>53</xdr:row>
      <xdr:rowOff>104775</xdr:rowOff>
    </xdr:to>
    <xdr:sp macro="" textlink="">
      <xdr:nvSpPr>
        <xdr:cNvPr id="36009" name="Line 169"/>
        <xdr:cNvSpPr>
          <a:spLocks noChangeShapeType="1"/>
        </xdr:cNvSpPr>
      </xdr:nvSpPr>
      <xdr:spPr bwMode="auto">
        <a:xfrm flipV="1">
          <a:off x="1628775" y="8077200"/>
          <a:ext cx="0" cy="6858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523875</xdr:colOff>
      <xdr:row>53</xdr:row>
      <xdr:rowOff>0</xdr:rowOff>
    </xdr:from>
    <xdr:to>
      <xdr:col>5</xdr:col>
      <xdr:colOff>219075</xdr:colOff>
      <xdr:row>53</xdr:row>
      <xdr:rowOff>66675</xdr:rowOff>
    </xdr:to>
    <xdr:sp macro="" textlink="">
      <xdr:nvSpPr>
        <xdr:cNvPr id="36010" name="Rectangle 170"/>
        <xdr:cNvSpPr>
          <a:spLocks noChangeArrowheads="1"/>
        </xdr:cNvSpPr>
      </xdr:nvSpPr>
      <xdr:spPr bwMode="auto">
        <a:xfrm>
          <a:off x="2352675" y="8658225"/>
          <a:ext cx="914400" cy="666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314325</xdr:colOff>
      <xdr:row>52</xdr:row>
      <xdr:rowOff>152400</xdr:rowOff>
    </xdr:from>
    <xdr:to>
      <xdr:col>3</xdr:col>
      <xdr:colOff>342900</xdr:colOff>
      <xdr:row>53</xdr:row>
      <xdr:rowOff>19050</xdr:rowOff>
    </xdr:to>
    <xdr:sp macro="" textlink="">
      <xdr:nvSpPr>
        <xdr:cNvPr id="36012" name="Oval 172"/>
        <xdr:cNvSpPr>
          <a:spLocks noChangeArrowheads="1"/>
        </xdr:cNvSpPr>
      </xdr:nvSpPr>
      <xdr:spPr bwMode="auto">
        <a:xfrm>
          <a:off x="2143125" y="8648700"/>
          <a:ext cx="28575" cy="2857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3</xdr:col>
      <xdr:colOff>314325</xdr:colOff>
      <xdr:row>54</xdr:row>
      <xdr:rowOff>57150</xdr:rowOff>
    </xdr:from>
    <xdr:to>
      <xdr:col>3</xdr:col>
      <xdr:colOff>342900</xdr:colOff>
      <xdr:row>54</xdr:row>
      <xdr:rowOff>85725</xdr:rowOff>
    </xdr:to>
    <xdr:sp macro="" textlink="">
      <xdr:nvSpPr>
        <xdr:cNvPr id="36013" name="Oval 173"/>
        <xdr:cNvSpPr>
          <a:spLocks noChangeArrowheads="1"/>
        </xdr:cNvSpPr>
      </xdr:nvSpPr>
      <xdr:spPr bwMode="auto">
        <a:xfrm>
          <a:off x="2143125" y="8877300"/>
          <a:ext cx="28575" cy="2857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3</xdr:col>
      <xdr:colOff>314325</xdr:colOff>
      <xdr:row>55</xdr:row>
      <xdr:rowOff>123825</xdr:rowOff>
    </xdr:from>
    <xdr:to>
      <xdr:col>3</xdr:col>
      <xdr:colOff>342900</xdr:colOff>
      <xdr:row>55</xdr:row>
      <xdr:rowOff>152400</xdr:rowOff>
    </xdr:to>
    <xdr:sp macro="" textlink="">
      <xdr:nvSpPr>
        <xdr:cNvPr id="36014" name="Oval 174"/>
        <xdr:cNvSpPr>
          <a:spLocks noChangeArrowheads="1"/>
        </xdr:cNvSpPr>
      </xdr:nvSpPr>
      <xdr:spPr bwMode="auto">
        <a:xfrm>
          <a:off x="2143125" y="9105900"/>
          <a:ext cx="28575" cy="2857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3</xdr:col>
      <xdr:colOff>314325</xdr:colOff>
      <xdr:row>57</xdr:row>
      <xdr:rowOff>19050</xdr:rowOff>
    </xdr:from>
    <xdr:to>
      <xdr:col>3</xdr:col>
      <xdr:colOff>342900</xdr:colOff>
      <xdr:row>57</xdr:row>
      <xdr:rowOff>47625</xdr:rowOff>
    </xdr:to>
    <xdr:sp macro="" textlink="">
      <xdr:nvSpPr>
        <xdr:cNvPr id="36015" name="Oval 175"/>
        <xdr:cNvSpPr>
          <a:spLocks noChangeArrowheads="1"/>
        </xdr:cNvSpPr>
      </xdr:nvSpPr>
      <xdr:spPr bwMode="auto">
        <a:xfrm>
          <a:off x="2143125" y="9324975"/>
          <a:ext cx="28575" cy="2857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3</xdr:col>
      <xdr:colOff>314325</xdr:colOff>
      <xdr:row>58</xdr:row>
      <xdr:rowOff>95250</xdr:rowOff>
    </xdr:from>
    <xdr:to>
      <xdr:col>3</xdr:col>
      <xdr:colOff>342900</xdr:colOff>
      <xdr:row>58</xdr:row>
      <xdr:rowOff>123825</xdr:rowOff>
    </xdr:to>
    <xdr:sp macro="" textlink="">
      <xdr:nvSpPr>
        <xdr:cNvPr id="36016" name="Oval 176"/>
        <xdr:cNvSpPr>
          <a:spLocks noChangeArrowheads="1"/>
        </xdr:cNvSpPr>
      </xdr:nvSpPr>
      <xdr:spPr bwMode="auto">
        <a:xfrm>
          <a:off x="2143125" y="9563100"/>
          <a:ext cx="28575" cy="2857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3</xdr:col>
      <xdr:colOff>314325</xdr:colOff>
      <xdr:row>60</xdr:row>
      <xdr:rowOff>0</xdr:rowOff>
    </xdr:from>
    <xdr:to>
      <xdr:col>3</xdr:col>
      <xdr:colOff>342900</xdr:colOff>
      <xdr:row>60</xdr:row>
      <xdr:rowOff>28575</xdr:rowOff>
    </xdr:to>
    <xdr:sp macro="" textlink="">
      <xdr:nvSpPr>
        <xdr:cNvPr id="36017" name="Oval 177"/>
        <xdr:cNvSpPr>
          <a:spLocks noChangeArrowheads="1"/>
        </xdr:cNvSpPr>
      </xdr:nvSpPr>
      <xdr:spPr bwMode="auto">
        <a:xfrm>
          <a:off x="2143125" y="9791700"/>
          <a:ext cx="28575" cy="2857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3</xdr:col>
      <xdr:colOff>314325</xdr:colOff>
      <xdr:row>61</xdr:row>
      <xdr:rowOff>38100</xdr:rowOff>
    </xdr:from>
    <xdr:to>
      <xdr:col>3</xdr:col>
      <xdr:colOff>342900</xdr:colOff>
      <xdr:row>61</xdr:row>
      <xdr:rowOff>66675</xdr:rowOff>
    </xdr:to>
    <xdr:sp macro="" textlink="">
      <xdr:nvSpPr>
        <xdr:cNvPr id="36018" name="Oval 178"/>
        <xdr:cNvSpPr>
          <a:spLocks noChangeArrowheads="1"/>
        </xdr:cNvSpPr>
      </xdr:nvSpPr>
      <xdr:spPr bwMode="auto">
        <a:xfrm>
          <a:off x="2143125" y="9991725"/>
          <a:ext cx="28575" cy="2857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3</xdr:col>
      <xdr:colOff>314325</xdr:colOff>
      <xdr:row>62</xdr:row>
      <xdr:rowOff>95250</xdr:rowOff>
    </xdr:from>
    <xdr:to>
      <xdr:col>3</xdr:col>
      <xdr:colOff>342900</xdr:colOff>
      <xdr:row>62</xdr:row>
      <xdr:rowOff>123825</xdr:rowOff>
    </xdr:to>
    <xdr:sp macro="" textlink="">
      <xdr:nvSpPr>
        <xdr:cNvPr id="36019" name="Oval 179"/>
        <xdr:cNvSpPr>
          <a:spLocks noChangeArrowheads="1"/>
        </xdr:cNvSpPr>
      </xdr:nvSpPr>
      <xdr:spPr bwMode="auto">
        <a:xfrm>
          <a:off x="2143125" y="10210800"/>
          <a:ext cx="28575" cy="2857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3</xdr:col>
      <xdr:colOff>314325</xdr:colOff>
      <xdr:row>63</xdr:row>
      <xdr:rowOff>152400</xdr:rowOff>
    </xdr:from>
    <xdr:to>
      <xdr:col>3</xdr:col>
      <xdr:colOff>342900</xdr:colOff>
      <xdr:row>64</xdr:row>
      <xdr:rowOff>19050</xdr:rowOff>
    </xdr:to>
    <xdr:sp macro="" textlink="">
      <xdr:nvSpPr>
        <xdr:cNvPr id="36020" name="Oval 180"/>
        <xdr:cNvSpPr>
          <a:spLocks noChangeArrowheads="1"/>
        </xdr:cNvSpPr>
      </xdr:nvSpPr>
      <xdr:spPr bwMode="auto">
        <a:xfrm>
          <a:off x="2143125" y="10429875"/>
          <a:ext cx="28575" cy="2857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3</xdr:col>
      <xdr:colOff>314325</xdr:colOff>
      <xdr:row>65</xdr:row>
      <xdr:rowOff>38100</xdr:rowOff>
    </xdr:from>
    <xdr:to>
      <xdr:col>3</xdr:col>
      <xdr:colOff>342900</xdr:colOff>
      <xdr:row>65</xdr:row>
      <xdr:rowOff>66675</xdr:rowOff>
    </xdr:to>
    <xdr:sp macro="" textlink="">
      <xdr:nvSpPr>
        <xdr:cNvPr id="36021" name="Oval 181"/>
        <xdr:cNvSpPr>
          <a:spLocks noChangeArrowheads="1"/>
        </xdr:cNvSpPr>
      </xdr:nvSpPr>
      <xdr:spPr bwMode="auto">
        <a:xfrm>
          <a:off x="2143125" y="10639425"/>
          <a:ext cx="28575" cy="2857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3</xdr:col>
      <xdr:colOff>314325</xdr:colOff>
      <xdr:row>66</xdr:row>
      <xdr:rowOff>85725</xdr:rowOff>
    </xdr:from>
    <xdr:to>
      <xdr:col>3</xdr:col>
      <xdr:colOff>342900</xdr:colOff>
      <xdr:row>66</xdr:row>
      <xdr:rowOff>114300</xdr:rowOff>
    </xdr:to>
    <xdr:sp macro="" textlink="">
      <xdr:nvSpPr>
        <xdr:cNvPr id="36022" name="Oval 182"/>
        <xdr:cNvSpPr>
          <a:spLocks noChangeArrowheads="1"/>
        </xdr:cNvSpPr>
      </xdr:nvSpPr>
      <xdr:spPr bwMode="auto">
        <a:xfrm>
          <a:off x="2143125" y="10848975"/>
          <a:ext cx="28575" cy="2857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3</xdr:col>
      <xdr:colOff>314325</xdr:colOff>
      <xdr:row>67</xdr:row>
      <xdr:rowOff>152400</xdr:rowOff>
    </xdr:from>
    <xdr:to>
      <xdr:col>3</xdr:col>
      <xdr:colOff>342900</xdr:colOff>
      <xdr:row>68</xdr:row>
      <xdr:rowOff>19050</xdr:rowOff>
    </xdr:to>
    <xdr:sp macro="" textlink="">
      <xdr:nvSpPr>
        <xdr:cNvPr id="36023" name="Oval 183"/>
        <xdr:cNvSpPr>
          <a:spLocks noChangeArrowheads="1"/>
        </xdr:cNvSpPr>
      </xdr:nvSpPr>
      <xdr:spPr bwMode="auto">
        <a:xfrm>
          <a:off x="2143125" y="11077575"/>
          <a:ext cx="28575" cy="2857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3</xdr:col>
      <xdr:colOff>314325</xdr:colOff>
      <xdr:row>69</xdr:row>
      <xdr:rowOff>28575</xdr:rowOff>
    </xdr:from>
    <xdr:to>
      <xdr:col>3</xdr:col>
      <xdr:colOff>342900</xdr:colOff>
      <xdr:row>69</xdr:row>
      <xdr:rowOff>57150</xdr:rowOff>
    </xdr:to>
    <xdr:sp macro="" textlink="">
      <xdr:nvSpPr>
        <xdr:cNvPr id="36024" name="Oval 184"/>
        <xdr:cNvSpPr>
          <a:spLocks noChangeArrowheads="1"/>
        </xdr:cNvSpPr>
      </xdr:nvSpPr>
      <xdr:spPr bwMode="auto">
        <a:xfrm>
          <a:off x="2143125" y="11277600"/>
          <a:ext cx="28575" cy="2857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3</xdr:col>
      <xdr:colOff>314325</xdr:colOff>
      <xdr:row>70</xdr:row>
      <xdr:rowOff>85725</xdr:rowOff>
    </xdr:from>
    <xdr:to>
      <xdr:col>3</xdr:col>
      <xdr:colOff>342900</xdr:colOff>
      <xdr:row>70</xdr:row>
      <xdr:rowOff>114300</xdr:rowOff>
    </xdr:to>
    <xdr:sp macro="" textlink="">
      <xdr:nvSpPr>
        <xdr:cNvPr id="36025" name="Oval 185"/>
        <xdr:cNvSpPr>
          <a:spLocks noChangeArrowheads="1"/>
        </xdr:cNvSpPr>
      </xdr:nvSpPr>
      <xdr:spPr bwMode="auto">
        <a:xfrm>
          <a:off x="2143125" y="11496675"/>
          <a:ext cx="28575" cy="2857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3</xdr:col>
      <xdr:colOff>314325</xdr:colOff>
      <xdr:row>71</xdr:row>
      <xdr:rowOff>142875</xdr:rowOff>
    </xdr:from>
    <xdr:to>
      <xdr:col>3</xdr:col>
      <xdr:colOff>342900</xdr:colOff>
      <xdr:row>72</xdr:row>
      <xdr:rowOff>9525</xdr:rowOff>
    </xdr:to>
    <xdr:sp macro="" textlink="">
      <xdr:nvSpPr>
        <xdr:cNvPr id="36026" name="Oval 186"/>
        <xdr:cNvSpPr>
          <a:spLocks noChangeArrowheads="1"/>
        </xdr:cNvSpPr>
      </xdr:nvSpPr>
      <xdr:spPr bwMode="auto">
        <a:xfrm>
          <a:off x="2143125" y="11715750"/>
          <a:ext cx="28575" cy="2857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3</xdr:col>
      <xdr:colOff>314325</xdr:colOff>
      <xdr:row>73</xdr:row>
      <xdr:rowOff>9525</xdr:rowOff>
    </xdr:from>
    <xdr:to>
      <xdr:col>3</xdr:col>
      <xdr:colOff>342900</xdr:colOff>
      <xdr:row>73</xdr:row>
      <xdr:rowOff>38100</xdr:rowOff>
    </xdr:to>
    <xdr:sp macro="" textlink="">
      <xdr:nvSpPr>
        <xdr:cNvPr id="36027" name="Oval 187"/>
        <xdr:cNvSpPr>
          <a:spLocks noChangeArrowheads="1"/>
        </xdr:cNvSpPr>
      </xdr:nvSpPr>
      <xdr:spPr bwMode="auto">
        <a:xfrm>
          <a:off x="2143125" y="11906250"/>
          <a:ext cx="28575" cy="2857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3</xdr:col>
      <xdr:colOff>314325</xdr:colOff>
      <xdr:row>74</xdr:row>
      <xdr:rowOff>57150</xdr:rowOff>
    </xdr:from>
    <xdr:to>
      <xdr:col>3</xdr:col>
      <xdr:colOff>342900</xdr:colOff>
      <xdr:row>74</xdr:row>
      <xdr:rowOff>85725</xdr:rowOff>
    </xdr:to>
    <xdr:sp macro="" textlink="">
      <xdr:nvSpPr>
        <xdr:cNvPr id="36028" name="Oval 188"/>
        <xdr:cNvSpPr>
          <a:spLocks noChangeArrowheads="1"/>
        </xdr:cNvSpPr>
      </xdr:nvSpPr>
      <xdr:spPr bwMode="auto">
        <a:xfrm>
          <a:off x="2143125" y="12115800"/>
          <a:ext cx="28575" cy="2857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2</xdr:col>
      <xdr:colOff>390525</xdr:colOff>
      <xdr:row>63</xdr:row>
      <xdr:rowOff>38100</xdr:rowOff>
    </xdr:from>
    <xdr:to>
      <xdr:col>2</xdr:col>
      <xdr:colOff>495300</xdr:colOff>
      <xdr:row>67</xdr:row>
      <xdr:rowOff>76200</xdr:rowOff>
    </xdr:to>
    <xdr:sp macro="" textlink="">
      <xdr:nvSpPr>
        <xdr:cNvPr id="36029" name="Line 189"/>
        <xdr:cNvSpPr>
          <a:spLocks noChangeShapeType="1"/>
        </xdr:cNvSpPr>
      </xdr:nvSpPr>
      <xdr:spPr bwMode="auto">
        <a:xfrm flipV="1">
          <a:off x="1609725" y="10315575"/>
          <a:ext cx="104775" cy="6858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428625</xdr:colOff>
      <xdr:row>63</xdr:row>
      <xdr:rowOff>38100</xdr:rowOff>
    </xdr:from>
    <xdr:to>
      <xdr:col>2</xdr:col>
      <xdr:colOff>533400</xdr:colOff>
      <xdr:row>67</xdr:row>
      <xdr:rowOff>57150</xdr:rowOff>
    </xdr:to>
    <xdr:sp macro="" textlink="">
      <xdr:nvSpPr>
        <xdr:cNvPr id="36030" name="Line 190"/>
        <xdr:cNvSpPr>
          <a:spLocks noChangeShapeType="1"/>
        </xdr:cNvSpPr>
      </xdr:nvSpPr>
      <xdr:spPr bwMode="auto">
        <a:xfrm flipV="1">
          <a:off x="1647825" y="10315575"/>
          <a:ext cx="104775" cy="6667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504825</xdr:colOff>
      <xdr:row>58</xdr:row>
      <xdr:rowOff>95250</xdr:rowOff>
    </xdr:from>
    <xdr:to>
      <xdr:col>2</xdr:col>
      <xdr:colOff>504825</xdr:colOff>
      <xdr:row>62</xdr:row>
      <xdr:rowOff>142875</xdr:rowOff>
    </xdr:to>
    <xdr:sp macro="" textlink="">
      <xdr:nvSpPr>
        <xdr:cNvPr id="36031" name="Line 191"/>
        <xdr:cNvSpPr>
          <a:spLocks noChangeShapeType="1"/>
        </xdr:cNvSpPr>
      </xdr:nvSpPr>
      <xdr:spPr bwMode="auto">
        <a:xfrm flipV="1">
          <a:off x="1724025" y="9563100"/>
          <a:ext cx="0" cy="6953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58</xdr:row>
      <xdr:rowOff>85725</xdr:rowOff>
    </xdr:from>
    <xdr:to>
      <xdr:col>2</xdr:col>
      <xdr:colOff>542925</xdr:colOff>
      <xdr:row>62</xdr:row>
      <xdr:rowOff>152400</xdr:rowOff>
    </xdr:to>
    <xdr:sp macro="" textlink="">
      <xdr:nvSpPr>
        <xdr:cNvPr id="36032" name="Line 192"/>
        <xdr:cNvSpPr>
          <a:spLocks noChangeShapeType="1"/>
        </xdr:cNvSpPr>
      </xdr:nvSpPr>
      <xdr:spPr bwMode="auto">
        <a:xfrm flipV="1">
          <a:off x="1762125" y="9553575"/>
          <a:ext cx="0" cy="7143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504825</xdr:colOff>
      <xdr:row>54</xdr:row>
      <xdr:rowOff>0</xdr:rowOff>
    </xdr:from>
    <xdr:to>
      <xdr:col>2</xdr:col>
      <xdr:colOff>504825</xdr:colOff>
      <xdr:row>58</xdr:row>
      <xdr:rowOff>28575</xdr:rowOff>
    </xdr:to>
    <xdr:sp macro="" textlink="">
      <xdr:nvSpPr>
        <xdr:cNvPr id="36033" name="Line 193"/>
        <xdr:cNvSpPr>
          <a:spLocks noChangeShapeType="1"/>
        </xdr:cNvSpPr>
      </xdr:nvSpPr>
      <xdr:spPr bwMode="auto">
        <a:xfrm flipV="1">
          <a:off x="1724025" y="8820150"/>
          <a:ext cx="0" cy="6762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54</xdr:row>
      <xdr:rowOff>9525</xdr:rowOff>
    </xdr:from>
    <xdr:to>
      <xdr:col>2</xdr:col>
      <xdr:colOff>542925</xdr:colOff>
      <xdr:row>58</xdr:row>
      <xdr:rowOff>38100</xdr:rowOff>
    </xdr:to>
    <xdr:sp macro="" textlink="">
      <xdr:nvSpPr>
        <xdr:cNvPr id="36034" name="Line 194"/>
        <xdr:cNvSpPr>
          <a:spLocks noChangeShapeType="1"/>
        </xdr:cNvSpPr>
      </xdr:nvSpPr>
      <xdr:spPr bwMode="auto">
        <a:xfrm flipV="1">
          <a:off x="1762125" y="8829675"/>
          <a:ext cx="0" cy="6762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504825</xdr:colOff>
      <xdr:row>49</xdr:row>
      <xdr:rowOff>57150</xdr:rowOff>
    </xdr:from>
    <xdr:to>
      <xdr:col>2</xdr:col>
      <xdr:colOff>504825</xdr:colOff>
      <xdr:row>53</xdr:row>
      <xdr:rowOff>114300</xdr:rowOff>
    </xdr:to>
    <xdr:sp macro="" textlink="">
      <xdr:nvSpPr>
        <xdr:cNvPr id="36035" name="Line 195"/>
        <xdr:cNvSpPr>
          <a:spLocks noChangeShapeType="1"/>
        </xdr:cNvSpPr>
      </xdr:nvSpPr>
      <xdr:spPr bwMode="auto">
        <a:xfrm flipV="1">
          <a:off x="1724025" y="8067675"/>
          <a:ext cx="0" cy="704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49</xdr:row>
      <xdr:rowOff>57150</xdr:rowOff>
    </xdr:from>
    <xdr:to>
      <xdr:col>2</xdr:col>
      <xdr:colOff>542925</xdr:colOff>
      <xdr:row>53</xdr:row>
      <xdr:rowOff>114300</xdr:rowOff>
    </xdr:to>
    <xdr:sp macro="" textlink="">
      <xdr:nvSpPr>
        <xdr:cNvPr id="36036" name="Line 196"/>
        <xdr:cNvSpPr>
          <a:spLocks noChangeShapeType="1"/>
        </xdr:cNvSpPr>
      </xdr:nvSpPr>
      <xdr:spPr bwMode="auto">
        <a:xfrm flipV="1">
          <a:off x="1762125" y="8067675"/>
          <a:ext cx="0" cy="704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19050</xdr:colOff>
      <xdr:row>63</xdr:row>
      <xdr:rowOff>38100</xdr:rowOff>
    </xdr:from>
    <xdr:to>
      <xdr:col>3</xdr:col>
      <xdr:colOff>57150</xdr:colOff>
      <xdr:row>67</xdr:row>
      <xdr:rowOff>66675</xdr:rowOff>
    </xdr:to>
    <xdr:sp macro="" textlink="">
      <xdr:nvSpPr>
        <xdr:cNvPr id="36037" name="Rectangle 197"/>
        <xdr:cNvSpPr>
          <a:spLocks noChangeArrowheads="1"/>
        </xdr:cNvSpPr>
      </xdr:nvSpPr>
      <xdr:spPr bwMode="auto">
        <a:xfrm>
          <a:off x="1847850" y="10315575"/>
          <a:ext cx="38100" cy="6762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209550</xdr:colOff>
      <xdr:row>63</xdr:row>
      <xdr:rowOff>38100</xdr:rowOff>
    </xdr:from>
    <xdr:to>
      <xdr:col>3</xdr:col>
      <xdr:colOff>247650</xdr:colOff>
      <xdr:row>67</xdr:row>
      <xdr:rowOff>66675</xdr:rowOff>
    </xdr:to>
    <xdr:sp macro="" textlink="">
      <xdr:nvSpPr>
        <xdr:cNvPr id="36039" name="Rectangle 199"/>
        <xdr:cNvSpPr>
          <a:spLocks noChangeArrowheads="1"/>
        </xdr:cNvSpPr>
      </xdr:nvSpPr>
      <xdr:spPr bwMode="auto">
        <a:xfrm>
          <a:off x="2038350" y="10315575"/>
          <a:ext cx="38100" cy="6762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209550</xdr:colOff>
      <xdr:row>58</xdr:row>
      <xdr:rowOff>85725</xdr:rowOff>
    </xdr:from>
    <xdr:to>
      <xdr:col>3</xdr:col>
      <xdr:colOff>247650</xdr:colOff>
      <xdr:row>62</xdr:row>
      <xdr:rowOff>152400</xdr:rowOff>
    </xdr:to>
    <xdr:sp macro="" textlink="">
      <xdr:nvSpPr>
        <xdr:cNvPr id="36040" name="Rectangle 200"/>
        <xdr:cNvSpPr>
          <a:spLocks noChangeArrowheads="1"/>
        </xdr:cNvSpPr>
      </xdr:nvSpPr>
      <xdr:spPr bwMode="auto">
        <a:xfrm>
          <a:off x="2038350" y="9553575"/>
          <a:ext cx="38100" cy="7143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19050</xdr:colOff>
      <xdr:row>58</xdr:row>
      <xdr:rowOff>85725</xdr:rowOff>
    </xdr:from>
    <xdr:to>
      <xdr:col>3</xdr:col>
      <xdr:colOff>57150</xdr:colOff>
      <xdr:row>62</xdr:row>
      <xdr:rowOff>152400</xdr:rowOff>
    </xdr:to>
    <xdr:sp macro="" textlink="">
      <xdr:nvSpPr>
        <xdr:cNvPr id="36041" name="Rectangle 201"/>
        <xdr:cNvSpPr>
          <a:spLocks noChangeArrowheads="1"/>
        </xdr:cNvSpPr>
      </xdr:nvSpPr>
      <xdr:spPr bwMode="auto">
        <a:xfrm>
          <a:off x="1847850" y="9553575"/>
          <a:ext cx="38100" cy="7143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19050</xdr:colOff>
      <xdr:row>54</xdr:row>
      <xdr:rowOff>0</xdr:rowOff>
    </xdr:from>
    <xdr:to>
      <xdr:col>3</xdr:col>
      <xdr:colOff>57150</xdr:colOff>
      <xdr:row>58</xdr:row>
      <xdr:rowOff>38100</xdr:rowOff>
    </xdr:to>
    <xdr:sp macro="" textlink="">
      <xdr:nvSpPr>
        <xdr:cNvPr id="36042" name="Rectangle 202"/>
        <xdr:cNvSpPr>
          <a:spLocks noChangeArrowheads="1"/>
        </xdr:cNvSpPr>
      </xdr:nvSpPr>
      <xdr:spPr bwMode="auto">
        <a:xfrm>
          <a:off x="1847850" y="8820150"/>
          <a:ext cx="38100" cy="685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209550</xdr:colOff>
      <xdr:row>54</xdr:row>
      <xdr:rowOff>0</xdr:rowOff>
    </xdr:from>
    <xdr:to>
      <xdr:col>3</xdr:col>
      <xdr:colOff>247650</xdr:colOff>
      <xdr:row>58</xdr:row>
      <xdr:rowOff>38100</xdr:rowOff>
    </xdr:to>
    <xdr:sp macro="" textlink="">
      <xdr:nvSpPr>
        <xdr:cNvPr id="36043" name="Rectangle 203"/>
        <xdr:cNvSpPr>
          <a:spLocks noChangeArrowheads="1"/>
        </xdr:cNvSpPr>
      </xdr:nvSpPr>
      <xdr:spPr bwMode="auto">
        <a:xfrm>
          <a:off x="2038350" y="8820150"/>
          <a:ext cx="38100" cy="685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19050</xdr:colOff>
      <xdr:row>49</xdr:row>
      <xdr:rowOff>57150</xdr:rowOff>
    </xdr:from>
    <xdr:to>
      <xdr:col>3</xdr:col>
      <xdr:colOff>57150</xdr:colOff>
      <xdr:row>53</xdr:row>
      <xdr:rowOff>114300</xdr:rowOff>
    </xdr:to>
    <xdr:sp macro="" textlink="">
      <xdr:nvSpPr>
        <xdr:cNvPr id="36044" name="Rectangle 204"/>
        <xdr:cNvSpPr>
          <a:spLocks noChangeArrowheads="1"/>
        </xdr:cNvSpPr>
      </xdr:nvSpPr>
      <xdr:spPr bwMode="auto">
        <a:xfrm>
          <a:off x="1847850" y="8067675"/>
          <a:ext cx="38100" cy="7048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209550</xdr:colOff>
      <xdr:row>49</xdr:row>
      <xdr:rowOff>57150</xdr:rowOff>
    </xdr:from>
    <xdr:to>
      <xdr:col>3</xdr:col>
      <xdr:colOff>247650</xdr:colOff>
      <xdr:row>53</xdr:row>
      <xdr:rowOff>114300</xdr:rowOff>
    </xdr:to>
    <xdr:sp macro="" textlink="">
      <xdr:nvSpPr>
        <xdr:cNvPr id="36045" name="Rectangle 205"/>
        <xdr:cNvSpPr>
          <a:spLocks noChangeArrowheads="1"/>
        </xdr:cNvSpPr>
      </xdr:nvSpPr>
      <xdr:spPr bwMode="auto">
        <a:xfrm>
          <a:off x="2038350" y="8067675"/>
          <a:ext cx="38100" cy="7048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523875</xdr:colOff>
      <xdr:row>48</xdr:row>
      <xdr:rowOff>0</xdr:rowOff>
    </xdr:from>
    <xdr:to>
      <xdr:col>3</xdr:col>
      <xdr:colOff>523875</xdr:colOff>
      <xdr:row>52</xdr:row>
      <xdr:rowOff>152400</xdr:rowOff>
    </xdr:to>
    <xdr:sp macro="" textlink="">
      <xdr:nvSpPr>
        <xdr:cNvPr id="36047" name="Line 207"/>
        <xdr:cNvSpPr>
          <a:spLocks noChangeShapeType="1"/>
        </xdr:cNvSpPr>
      </xdr:nvSpPr>
      <xdr:spPr bwMode="auto">
        <a:xfrm>
          <a:off x="2352675" y="7848600"/>
          <a:ext cx="0" cy="80010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323850</xdr:colOff>
      <xdr:row>48</xdr:row>
      <xdr:rowOff>9525</xdr:rowOff>
    </xdr:from>
    <xdr:to>
      <xdr:col>3</xdr:col>
      <xdr:colOff>323850</xdr:colOff>
      <xdr:row>53</xdr:row>
      <xdr:rowOff>28575</xdr:rowOff>
    </xdr:to>
    <xdr:sp macro="" textlink="">
      <xdr:nvSpPr>
        <xdr:cNvPr id="36048" name="Line 208"/>
        <xdr:cNvSpPr>
          <a:spLocks noChangeShapeType="1"/>
        </xdr:cNvSpPr>
      </xdr:nvSpPr>
      <xdr:spPr bwMode="auto">
        <a:xfrm>
          <a:off x="2152650" y="7858125"/>
          <a:ext cx="0" cy="8286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48</xdr:row>
      <xdr:rowOff>38100</xdr:rowOff>
    </xdr:from>
    <xdr:to>
      <xdr:col>3</xdr:col>
      <xdr:colOff>304800</xdr:colOff>
      <xdr:row>48</xdr:row>
      <xdr:rowOff>38100</xdr:rowOff>
    </xdr:to>
    <xdr:sp macro="" textlink="">
      <xdr:nvSpPr>
        <xdr:cNvPr id="36049" name="Line 209"/>
        <xdr:cNvSpPr>
          <a:spLocks noChangeShapeType="1"/>
        </xdr:cNvSpPr>
      </xdr:nvSpPr>
      <xdr:spPr bwMode="auto">
        <a:xfrm flipH="1">
          <a:off x="1828800" y="7886700"/>
          <a:ext cx="30480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323850</xdr:colOff>
      <xdr:row>48</xdr:row>
      <xdr:rowOff>38100</xdr:rowOff>
    </xdr:from>
    <xdr:to>
      <xdr:col>3</xdr:col>
      <xdr:colOff>523875</xdr:colOff>
      <xdr:row>48</xdr:row>
      <xdr:rowOff>38100</xdr:rowOff>
    </xdr:to>
    <xdr:sp macro="" textlink="">
      <xdr:nvSpPr>
        <xdr:cNvPr id="36050" name="Line 210"/>
        <xdr:cNvSpPr>
          <a:spLocks noChangeShapeType="1"/>
        </xdr:cNvSpPr>
      </xdr:nvSpPr>
      <xdr:spPr bwMode="auto">
        <a:xfrm>
          <a:off x="2152650" y="7886700"/>
          <a:ext cx="20002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523875</xdr:colOff>
      <xdr:row>48</xdr:row>
      <xdr:rowOff>38100</xdr:rowOff>
    </xdr:from>
    <xdr:to>
      <xdr:col>4</xdr:col>
      <xdr:colOff>161925</xdr:colOff>
      <xdr:row>48</xdr:row>
      <xdr:rowOff>38100</xdr:rowOff>
    </xdr:to>
    <xdr:sp macro="" textlink="">
      <xdr:nvSpPr>
        <xdr:cNvPr id="36051" name="Line 211"/>
        <xdr:cNvSpPr>
          <a:spLocks noChangeShapeType="1"/>
        </xdr:cNvSpPr>
      </xdr:nvSpPr>
      <xdr:spPr bwMode="auto">
        <a:xfrm>
          <a:off x="2352675" y="7886700"/>
          <a:ext cx="2476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4</xdr:col>
      <xdr:colOff>200025</xdr:colOff>
      <xdr:row>47</xdr:row>
      <xdr:rowOff>123825</xdr:rowOff>
    </xdr:from>
    <xdr:ext cx="1181100" cy="495300"/>
    <xdr:sp macro="" textlink="">
      <xdr:nvSpPr>
        <xdr:cNvPr id="36052" name="Text Box 212"/>
        <xdr:cNvSpPr txBox="1">
          <a:spLocks noChangeArrowheads="1"/>
        </xdr:cNvSpPr>
      </xdr:nvSpPr>
      <xdr:spPr bwMode="auto">
        <a:xfrm>
          <a:off x="2638425" y="7810500"/>
          <a:ext cx="11811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12" Max. </a:t>
          </a:r>
          <a:r>
            <a:rPr lang="en-US" sz="1000" b="1" i="0" u="none" strike="noStrike" baseline="0">
              <a:solidFill>
                <a:srgbClr val="FF0000"/>
              </a:solidFill>
              <a:latin typeface="Arial"/>
              <a:cs typeface="Arial"/>
            </a:rPr>
            <a:t>(305mm)</a:t>
          </a:r>
          <a:endParaRPr lang="en-US" sz="10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2-1/2" Min. </a:t>
          </a:r>
          <a:r>
            <a:rPr lang="en-US" sz="1000" b="1" i="0" u="none" strike="noStrike" baseline="0">
              <a:solidFill>
                <a:srgbClr val="FF0000"/>
              </a:solidFill>
              <a:latin typeface="Arial"/>
              <a:cs typeface="Arial"/>
            </a:rPr>
            <a:t>(64mm)</a:t>
          </a:r>
          <a:endParaRPr lang="en-US" sz="10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800" b="1" i="1" u="none" strike="noStrike" baseline="0">
              <a:solidFill>
                <a:srgbClr val="FF0000"/>
              </a:solidFill>
              <a:latin typeface="Arial"/>
              <a:cs typeface="Arial"/>
            </a:rPr>
            <a:t>See Note 14</a:t>
          </a:r>
        </a:p>
      </xdr:txBody>
    </xdr:sp>
    <xdr:clientData/>
  </xdr:oneCellAnchor>
  <xdr:twoCellAnchor>
    <xdr:from>
      <xdr:col>0</xdr:col>
      <xdr:colOff>390525</xdr:colOff>
      <xdr:row>75</xdr:row>
      <xdr:rowOff>152400</xdr:rowOff>
    </xdr:from>
    <xdr:to>
      <xdr:col>1</xdr:col>
      <xdr:colOff>457200</xdr:colOff>
      <xdr:row>75</xdr:row>
      <xdr:rowOff>152400</xdr:rowOff>
    </xdr:to>
    <xdr:sp macro="" textlink="">
      <xdr:nvSpPr>
        <xdr:cNvPr id="36053" name="Line 213"/>
        <xdr:cNvSpPr>
          <a:spLocks noChangeShapeType="1"/>
        </xdr:cNvSpPr>
      </xdr:nvSpPr>
      <xdr:spPr bwMode="auto">
        <a:xfrm flipH="1">
          <a:off x="390525" y="12372975"/>
          <a:ext cx="67627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400050</xdr:colOff>
      <xdr:row>67</xdr:row>
      <xdr:rowOff>123825</xdr:rowOff>
    </xdr:from>
    <xdr:to>
      <xdr:col>2</xdr:col>
      <xdr:colOff>190500</xdr:colOff>
      <xdr:row>67</xdr:row>
      <xdr:rowOff>123825</xdr:rowOff>
    </xdr:to>
    <xdr:sp macro="" textlink="">
      <xdr:nvSpPr>
        <xdr:cNvPr id="36054" name="Line 214"/>
        <xdr:cNvSpPr>
          <a:spLocks noChangeShapeType="1"/>
        </xdr:cNvSpPr>
      </xdr:nvSpPr>
      <xdr:spPr bwMode="auto">
        <a:xfrm flipH="1" flipV="1">
          <a:off x="400050" y="11049000"/>
          <a:ext cx="10096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72</xdr:row>
      <xdr:rowOff>28575</xdr:rowOff>
    </xdr:from>
    <xdr:to>
      <xdr:col>1</xdr:col>
      <xdr:colOff>504825</xdr:colOff>
      <xdr:row>72</xdr:row>
      <xdr:rowOff>57150</xdr:rowOff>
    </xdr:to>
    <xdr:sp macro="" textlink="">
      <xdr:nvSpPr>
        <xdr:cNvPr id="36055" name="Oval 215"/>
        <xdr:cNvSpPr>
          <a:spLocks noChangeArrowheads="1"/>
        </xdr:cNvSpPr>
      </xdr:nvSpPr>
      <xdr:spPr bwMode="auto">
        <a:xfrm>
          <a:off x="1085850" y="11763375"/>
          <a:ext cx="28575" cy="2857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270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</xdr:spPr>
    </xdr:sp>
    <xdr:clientData/>
  </xdr:twoCellAnchor>
  <xdr:twoCellAnchor>
    <xdr:from>
      <xdr:col>1</xdr:col>
      <xdr:colOff>476250</xdr:colOff>
      <xdr:row>74</xdr:row>
      <xdr:rowOff>0</xdr:rowOff>
    </xdr:from>
    <xdr:to>
      <xdr:col>1</xdr:col>
      <xdr:colOff>504825</xdr:colOff>
      <xdr:row>74</xdr:row>
      <xdr:rowOff>28575</xdr:rowOff>
    </xdr:to>
    <xdr:sp macro="" textlink="">
      <xdr:nvSpPr>
        <xdr:cNvPr id="36056" name="Oval 216"/>
        <xdr:cNvSpPr>
          <a:spLocks noChangeArrowheads="1"/>
        </xdr:cNvSpPr>
      </xdr:nvSpPr>
      <xdr:spPr bwMode="auto">
        <a:xfrm>
          <a:off x="1085850" y="12058650"/>
          <a:ext cx="28575" cy="2857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270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</xdr:spPr>
    </xdr:sp>
    <xdr:clientData/>
  </xdr:twoCellAnchor>
  <xdr:twoCellAnchor>
    <xdr:from>
      <xdr:col>1</xdr:col>
      <xdr:colOff>485775</xdr:colOff>
      <xdr:row>67</xdr:row>
      <xdr:rowOff>133350</xdr:rowOff>
    </xdr:from>
    <xdr:to>
      <xdr:col>2</xdr:col>
      <xdr:colOff>247650</xdr:colOff>
      <xdr:row>72</xdr:row>
      <xdr:rowOff>19050</xdr:rowOff>
    </xdr:to>
    <xdr:sp macro="" textlink="">
      <xdr:nvSpPr>
        <xdr:cNvPr id="36057" name="Line 217"/>
        <xdr:cNvSpPr>
          <a:spLocks noChangeShapeType="1"/>
        </xdr:cNvSpPr>
      </xdr:nvSpPr>
      <xdr:spPr bwMode="auto">
        <a:xfrm flipV="1">
          <a:off x="1095375" y="11058525"/>
          <a:ext cx="371475" cy="6953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495300</xdr:colOff>
      <xdr:row>67</xdr:row>
      <xdr:rowOff>114300</xdr:rowOff>
    </xdr:from>
    <xdr:to>
      <xdr:col>2</xdr:col>
      <xdr:colOff>361950</xdr:colOff>
      <xdr:row>72</xdr:row>
      <xdr:rowOff>19050</xdr:rowOff>
    </xdr:to>
    <xdr:sp macro="" textlink="">
      <xdr:nvSpPr>
        <xdr:cNvPr id="36058" name="Line 218"/>
        <xdr:cNvSpPr>
          <a:spLocks noChangeShapeType="1"/>
        </xdr:cNvSpPr>
      </xdr:nvSpPr>
      <xdr:spPr bwMode="auto">
        <a:xfrm flipV="1">
          <a:off x="1104900" y="11039475"/>
          <a:ext cx="476250" cy="7143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485775</xdr:colOff>
      <xdr:row>67</xdr:row>
      <xdr:rowOff>133350</xdr:rowOff>
    </xdr:from>
    <xdr:to>
      <xdr:col>2</xdr:col>
      <xdr:colOff>390525</xdr:colOff>
      <xdr:row>72</xdr:row>
      <xdr:rowOff>47625</xdr:rowOff>
    </xdr:to>
    <xdr:sp macro="" textlink="">
      <xdr:nvSpPr>
        <xdr:cNvPr id="36059" name="Line 219"/>
        <xdr:cNvSpPr>
          <a:spLocks noChangeShapeType="1"/>
        </xdr:cNvSpPr>
      </xdr:nvSpPr>
      <xdr:spPr bwMode="auto">
        <a:xfrm flipV="1">
          <a:off x="1095375" y="11058525"/>
          <a:ext cx="514350" cy="7239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</xdr:col>
      <xdr:colOff>238125</xdr:colOff>
      <xdr:row>71</xdr:row>
      <xdr:rowOff>38100</xdr:rowOff>
    </xdr:from>
    <xdr:ext cx="600075" cy="171450"/>
    <xdr:sp macro="" textlink="">
      <xdr:nvSpPr>
        <xdr:cNvPr id="36060" name="Text Box 220"/>
        <xdr:cNvSpPr txBox="1">
          <a:spLocks noChangeArrowheads="1"/>
        </xdr:cNvSpPr>
      </xdr:nvSpPr>
      <xdr:spPr bwMode="auto">
        <a:xfrm>
          <a:off x="1457325" y="11610975"/>
          <a:ext cx="60007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0" anchor="t" upright="1">
          <a:spAutoFit/>
        </a:bodyPr>
        <a:lstStyle/>
        <a:p>
          <a:pPr algn="l" rtl="0">
            <a:defRPr sz="1000"/>
          </a:pPr>
          <a:r>
            <a:rPr lang="en-US" sz="800" b="1" i="1" u="none" strike="noStrike" baseline="0">
              <a:solidFill>
                <a:srgbClr val="FF0000"/>
              </a:solidFill>
              <a:latin typeface="Arial"/>
              <a:cs typeface="Arial"/>
            </a:rPr>
            <a:t>See Note4</a:t>
          </a:r>
        </a:p>
      </xdr:txBody>
    </xdr:sp>
    <xdr:clientData/>
  </xdr:oneCellAnchor>
  <xdr:twoCellAnchor>
    <xdr:from>
      <xdr:col>2</xdr:col>
      <xdr:colOff>95250</xdr:colOff>
      <xdr:row>70</xdr:row>
      <xdr:rowOff>104775</xdr:rowOff>
    </xdr:from>
    <xdr:to>
      <xdr:col>2</xdr:col>
      <xdr:colOff>228600</xdr:colOff>
      <xdr:row>71</xdr:row>
      <xdr:rowOff>114300</xdr:rowOff>
    </xdr:to>
    <xdr:sp macro="" textlink="">
      <xdr:nvSpPr>
        <xdr:cNvPr id="36061" name="Line 221"/>
        <xdr:cNvSpPr>
          <a:spLocks noChangeShapeType="1"/>
        </xdr:cNvSpPr>
      </xdr:nvSpPr>
      <xdr:spPr bwMode="auto">
        <a:xfrm>
          <a:off x="1314450" y="11515725"/>
          <a:ext cx="133350" cy="1714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447675</xdr:colOff>
      <xdr:row>67</xdr:row>
      <xdr:rowOff>114300</xdr:rowOff>
    </xdr:from>
    <xdr:to>
      <xdr:col>0</xdr:col>
      <xdr:colOff>447675</xdr:colOff>
      <xdr:row>75</xdr:row>
      <xdr:rowOff>152400</xdr:rowOff>
    </xdr:to>
    <xdr:sp macro="" textlink="">
      <xdr:nvSpPr>
        <xdr:cNvPr id="36062" name="Line 222"/>
        <xdr:cNvSpPr>
          <a:spLocks noChangeShapeType="1"/>
        </xdr:cNvSpPr>
      </xdr:nvSpPr>
      <xdr:spPr bwMode="auto">
        <a:xfrm flipV="1">
          <a:off x="447675" y="11039475"/>
          <a:ext cx="0" cy="133350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95250</xdr:colOff>
      <xdr:row>67</xdr:row>
      <xdr:rowOff>95250</xdr:rowOff>
    </xdr:from>
    <xdr:to>
      <xdr:col>1</xdr:col>
      <xdr:colOff>123825</xdr:colOff>
      <xdr:row>76</xdr:row>
      <xdr:rowOff>9525</xdr:rowOff>
    </xdr:to>
    <xdr:sp macro="" textlink="">
      <xdr:nvSpPr>
        <xdr:cNvPr id="36063" name="Text Box 223"/>
        <xdr:cNvSpPr txBox="1">
          <a:spLocks noChangeArrowheads="1"/>
        </xdr:cNvSpPr>
      </xdr:nvSpPr>
      <xdr:spPr bwMode="auto">
        <a:xfrm>
          <a:off x="95250" y="11020425"/>
          <a:ext cx="638175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vert="vert270" wrap="square" lIns="27432" tIns="22860" rIns="27432" bIns="22860" anchor="ctr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7'-0" </a:t>
          </a:r>
          <a:r>
            <a:rPr lang="en-US" sz="1000" b="1" i="0" u="none" strike="noStrike" baseline="0">
              <a:solidFill>
                <a:srgbClr val="FF0000"/>
              </a:solidFill>
              <a:latin typeface="Arial"/>
              <a:cs typeface="Arial"/>
            </a:rPr>
            <a:t>(2134mm)</a:t>
          </a: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 MIN.</a:t>
          </a:r>
        </a:p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8'-0" </a:t>
          </a:r>
          <a:r>
            <a:rPr lang="en-US" sz="1000" b="1" i="0" u="none" strike="noStrike" baseline="0">
              <a:solidFill>
                <a:srgbClr val="FF0000"/>
              </a:solidFill>
              <a:latin typeface="Arial"/>
              <a:cs typeface="Arial"/>
            </a:rPr>
            <a:t>(2438mm)</a:t>
          </a: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 Max.</a:t>
          </a:r>
          <a:endParaRPr lang="en-US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800" b="1" i="1" u="none" strike="noStrike" baseline="0">
              <a:solidFill>
                <a:srgbClr val="FF0000"/>
              </a:solidFill>
              <a:latin typeface="Arial"/>
              <a:cs typeface="Arial"/>
            </a:rPr>
            <a:t>See Note 17</a:t>
          </a:r>
          <a:endParaRPr lang="en-US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76200</xdr:colOff>
      <xdr:row>58</xdr:row>
      <xdr:rowOff>57150</xdr:rowOff>
    </xdr:from>
    <xdr:to>
      <xdr:col>2</xdr:col>
      <xdr:colOff>381000</xdr:colOff>
      <xdr:row>58</xdr:row>
      <xdr:rowOff>57150</xdr:rowOff>
    </xdr:to>
    <xdr:sp macro="" textlink="">
      <xdr:nvSpPr>
        <xdr:cNvPr id="36064" name="Line 224"/>
        <xdr:cNvSpPr>
          <a:spLocks noChangeShapeType="1"/>
        </xdr:cNvSpPr>
      </xdr:nvSpPr>
      <xdr:spPr bwMode="auto">
        <a:xfrm flipH="1">
          <a:off x="685800" y="9525000"/>
          <a:ext cx="9144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</xdr:colOff>
      <xdr:row>63</xdr:row>
      <xdr:rowOff>19050</xdr:rowOff>
    </xdr:from>
    <xdr:to>
      <xdr:col>2</xdr:col>
      <xdr:colOff>352425</xdr:colOff>
      <xdr:row>63</xdr:row>
      <xdr:rowOff>19050</xdr:rowOff>
    </xdr:to>
    <xdr:sp macro="" textlink="">
      <xdr:nvSpPr>
        <xdr:cNvPr id="36065" name="Line 225"/>
        <xdr:cNvSpPr>
          <a:spLocks noChangeShapeType="1"/>
        </xdr:cNvSpPr>
      </xdr:nvSpPr>
      <xdr:spPr bwMode="auto">
        <a:xfrm flipH="1">
          <a:off x="657225" y="10296525"/>
          <a:ext cx="9144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152400</xdr:colOff>
      <xdr:row>58</xdr:row>
      <xdr:rowOff>47625</xdr:rowOff>
    </xdr:from>
    <xdr:to>
      <xdr:col>1</xdr:col>
      <xdr:colOff>152400</xdr:colOff>
      <xdr:row>63</xdr:row>
      <xdr:rowOff>9525</xdr:rowOff>
    </xdr:to>
    <xdr:sp macro="" textlink="">
      <xdr:nvSpPr>
        <xdr:cNvPr id="36066" name="Line 226"/>
        <xdr:cNvSpPr>
          <a:spLocks noChangeShapeType="1"/>
        </xdr:cNvSpPr>
      </xdr:nvSpPr>
      <xdr:spPr bwMode="auto">
        <a:xfrm flipV="1">
          <a:off x="762000" y="9515475"/>
          <a:ext cx="0" cy="7715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581025</xdr:colOff>
      <xdr:row>57</xdr:row>
      <xdr:rowOff>133350</xdr:rowOff>
    </xdr:from>
    <xdr:to>
      <xdr:col>1</xdr:col>
      <xdr:colOff>476250</xdr:colOff>
      <xdr:row>63</xdr:row>
      <xdr:rowOff>85725</xdr:rowOff>
    </xdr:to>
    <xdr:sp macro="" textlink="">
      <xdr:nvSpPr>
        <xdr:cNvPr id="36067" name="Text Box 227"/>
        <xdr:cNvSpPr txBox="1">
          <a:spLocks noChangeArrowheads="1"/>
        </xdr:cNvSpPr>
      </xdr:nvSpPr>
      <xdr:spPr bwMode="auto">
        <a:xfrm>
          <a:off x="581025" y="9439275"/>
          <a:ext cx="5048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vert="vert270" wrap="square" lIns="27432" tIns="22860" rIns="0" bIns="22860" anchor="t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4'-0" </a:t>
          </a:r>
          <a:r>
            <a:rPr lang="en-US" sz="1000" b="1" i="0" u="none" strike="noStrike" baseline="0">
              <a:solidFill>
                <a:srgbClr val="FF0000"/>
              </a:solidFill>
              <a:latin typeface="Arial"/>
              <a:cs typeface="Arial"/>
            </a:rPr>
            <a:t>(1219mm)</a:t>
          </a:r>
          <a:endParaRPr lang="en-US" sz="10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 MAX. Spa.</a:t>
          </a:r>
        </a:p>
      </xdr:txBody>
    </xdr:sp>
    <xdr:clientData/>
  </xdr:twoCellAnchor>
  <xdr:twoCellAnchor>
    <xdr:from>
      <xdr:col>1</xdr:col>
      <xdr:colOff>514350</xdr:colOff>
      <xdr:row>73</xdr:row>
      <xdr:rowOff>104775</xdr:rowOff>
    </xdr:from>
    <xdr:to>
      <xdr:col>3</xdr:col>
      <xdr:colOff>276225</xdr:colOff>
      <xdr:row>73</xdr:row>
      <xdr:rowOff>104775</xdr:rowOff>
    </xdr:to>
    <xdr:sp macro="" textlink="">
      <xdr:nvSpPr>
        <xdr:cNvPr id="36068" name="Line 228"/>
        <xdr:cNvSpPr>
          <a:spLocks noChangeShapeType="1"/>
        </xdr:cNvSpPr>
      </xdr:nvSpPr>
      <xdr:spPr bwMode="auto">
        <a:xfrm>
          <a:off x="1123950" y="12001500"/>
          <a:ext cx="9810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</xdr:col>
      <xdr:colOff>104775</xdr:colOff>
      <xdr:row>72</xdr:row>
      <xdr:rowOff>104775</xdr:rowOff>
    </xdr:from>
    <xdr:ext cx="638175" cy="361950"/>
    <xdr:sp macro="" textlink="">
      <xdr:nvSpPr>
        <xdr:cNvPr id="36069" name="Text Box 229"/>
        <xdr:cNvSpPr txBox="1">
          <a:spLocks noChangeArrowheads="1"/>
        </xdr:cNvSpPr>
      </xdr:nvSpPr>
      <xdr:spPr bwMode="auto">
        <a:xfrm>
          <a:off x="1323975" y="11839575"/>
          <a:ext cx="638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2'-6" MIN.</a:t>
          </a:r>
        </a:p>
        <a:p>
          <a:pPr algn="l" rtl="0">
            <a:defRPr sz="1000"/>
          </a:pPr>
          <a:r>
            <a:rPr lang="en-US" sz="1000" b="1" i="0" u="none" strike="noStrike" baseline="0">
              <a:solidFill>
                <a:srgbClr val="FF0000"/>
              </a:solidFill>
              <a:latin typeface="Arial"/>
              <a:cs typeface="Arial"/>
            </a:rPr>
            <a:t>(762mm)</a:t>
          </a:r>
        </a:p>
      </xdr:txBody>
    </xdr:sp>
    <xdr:clientData/>
  </xdr:oneCellAnchor>
  <xdr:twoCellAnchor>
    <xdr:from>
      <xdr:col>5</xdr:col>
      <xdr:colOff>295275</xdr:colOff>
      <xdr:row>52</xdr:row>
      <xdr:rowOff>152400</xdr:rowOff>
    </xdr:from>
    <xdr:to>
      <xdr:col>7</xdr:col>
      <xdr:colOff>390525</xdr:colOff>
      <xdr:row>52</xdr:row>
      <xdr:rowOff>152400</xdr:rowOff>
    </xdr:to>
    <xdr:sp macro="" textlink="">
      <xdr:nvSpPr>
        <xdr:cNvPr id="36070" name="Line 230"/>
        <xdr:cNvSpPr>
          <a:spLocks noChangeShapeType="1"/>
        </xdr:cNvSpPr>
      </xdr:nvSpPr>
      <xdr:spPr bwMode="auto">
        <a:xfrm flipH="1">
          <a:off x="3343275" y="8648700"/>
          <a:ext cx="13144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95250</xdr:colOff>
      <xdr:row>52</xdr:row>
      <xdr:rowOff>152400</xdr:rowOff>
    </xdr:from>
    <xdr:to>
      <xdr:col>3</xdr:col>
      <xdr:colOff>247650</xdr:colOff>
      <xdr:row>52</xdr:row>
      <xdr:rowOff>152400</xdr:rowOff>
    </xdr:to>
    <xdr:sp macro="" textlink="">
      <xdr:nvSpPr>
        <xdr:cNvPr id="36071" name="Line 231"/>
        <xdr:cNvSpPr>
          <a:spLocks noChangeShapeType="1"/>
        </xdr:cNvSpPr>
      </xdr:nvSpPr>
      <xdr:spPr bwMode="auto">
        <a:xfrm flipH="1">
          <a:off x="704850" y="8648700"/>
          <a:ext cx="137160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66675</xdr:colOff>
      <xdr:row>49</xdr:row>
      <xdr:rowOff>19050</xdr:rowOff>
    </xdr:from>
    <xdr:to>
      <xdr:col>2</xdr:col>
      <xdr:colOff>342900</xdr:colOff>
      <xdr:row>49</xdr:row>
      <xdr:rowOff>19050</xdr:rowOff>
    </xdr:to>
    <xdr:sp macro="" textlink="">
      <xdr:nvSpPr>
        <xdr:cNvPr id="36072" name="Line 232"/>
        <xdr:cNvSpPr>
          <a:spLocks noChangeShapeType="1"/>
        </xdr:cNvSpPr>
      </xdr:nvSpPr>
      <xdr:spPr bwMode="auto">
        <a:xfrm flipH="1">
          <a:off x="676275" y="8029575"/>
          <a:ext cx="88582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104775</xdr:colOff>
      <xdr:row>49</xdr:row>
      <xdr:rowOff>28575</xdr:rowOff>
    </xdr:from>
    <xdr:to>
      <xdr:col>1</xdr:col>
      <xdr:colOff>104775</xdr:colOff>
      <xdr:row>52</xdr:row>
      <xdr:rowOff>152400</xdr:rowOff>
    </xdr:to>
    <xdr:sp macro="" textlink="">
      <xdr:nvSpPr>
        <xdr:cNvPr id="36073" name="Line 233"/>
        <xdr:cNvSpPr>
          <a:spLocks noChangeShapeType="1"/>
        </xdr:cNvSpPr>
      </xdr:nvSpPr>
      <xdr:spPr bwMode="auto">
        <a:xfrm flipV="1">
          <a:off x="714375" y="8039100"/>
          <a:ext cx="0" cy="609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314325</xdr:colOff>
      <xdr:row>47</xdr:row>
      <xdr:rowOff>133350</xdr:rowOff>
    </xdr:from>
    <xdr:to>
      <xdr:col>1</xdr:col>
      <xdr:colOff>323850</xdr:colOff>
      <xdr:row>54</xdr:row>
      <xdr:rowOff>9525</xdr:rowOff>
    </xdr:to>
    <xdr:sp macro="" textlink="">
      <xdr:nvSpPr>
        <xdr:cNvPr id="36074" name="Text Box 234"/>
        <xdr:cNvSpPr txBox="1">
          <a:spLocks noChangeArrowheads="1"/>
        </xdr:cNvSpPr>
      </xdr:nvSpPr>
      <xdr:spPr bwMode="auto">
        <a:xfrm>
          <a:off x="314325" y="7820025"/>
          <a:ext cx="61912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vert="vert270" wrap="square" lIns="27432" tIns="22860" rIns="27432" bIns="22860" anchor="ctr" upright="1"/>
        <a:lstStyle/>
        <a:p>
          <a:pPr algn="ctr" rtl="0">
            <a:lnSpc>
              <a:spcPts val="1100"/>
            </a:lnSpc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3'-6" </a:t>
          </a:r>
          <a:r>
            <a:rPr lang="en-US" sz="1000" b="1" i="0" u="none" strike="noStrike" baseline="0">
              <a:solidFill>
                <a:srgbClr val="FF0000"/>
              </a:solidFill>
              <a:latin typeface="Arial"/>
              <a:cs typeface="Arial"/>
            </a:rPr>
            <a:t>(1067mm)</a:t>
          </a: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 MIN.</a:t>
          </a:r>
        </a:p>
        <a:p>
          <a:pPr algn="ctr" rtl="0">
            <a:lnSpc>
              <a:spcPts val="1000"/>
            </a:lnSpc>
            <a:defRPr sz="1000"/>
          </a:pPr>
          <a:r>
            <a:rPr lang="en-US" sz="800" b="1" i="1" u="none" strike="noStrike" baseline="0">
              <a:solidFill>
                <a:srgbClr val="FF0000"/>
              </a:solidFill>
              <a:latin typeface="Arial"/>
              <a:cs typeface="Arial"/>
            </a:rPr>
            <a:t>See Note16</a:t>
          </a:r>
        </a:p>
      </xdr:txBody>
    </xdr:sp>
    <xdr:clientData/>
  </xdr:twoCellAnchor>
  <xdr:oneCellAnchor>
    <xdr:from>
      <xdr:col>0</xdr:col>
      <xdr:colOff>333375</xdr:colOff>
      <xdr:row>53</xdr:row>
      <xdr:rowOff>123825</xdr:rowOff>
    </xdr:from>
    <xdr:ext cx="733425" cy="304800"/>
    <xdr:sp macro="" textlink="">
      <xdr:nvSpPr>
        <xdr:cNvPr id="36075" name="Text Box 235"/>
        <xdr:cNvSpPr txBox="1">
          <a:spLocks noChangeArrowheads="1"/>
        </xdr:cNvSpPr>
      </xdr:nvSpPr>
      <xdr:spPr bwMode="auto">
        <a:xfrm>
          <a:off x="333375" y="8782050"/>
          <a:ext cx="7334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0" anchor="t" upright="1">
          <a:spAutoFit/>
        </a:bodyPr>
        <a:lstStyle/>
        <a:p>
          <a:pPr algn="l" rtl="0">
            <a:defRPr sz="1000"/>
          </a:pPr>
          <a:r>
            <a:rPr lang="en-US" sz="800" b="1" i="1" u="none" strike="noStrike" baseline="0">
              <a:solidFill>
                <a:srgbClr val="000000"/>
              </a:solidFill>
              <a:latin typeface="Arial"/>
              <a:cs typeface="Arial"/>
            </a:rPr>
            <a:t>Top of Rung</a:t>
          </a:r>
        </a:p>
        <a:p>
          <a:pPr algn="l" rtl="0">
            <a:defRPr sz="1000"/>
          </a:pPr>
          <a:r>
            <a:rPr lang="en-US" sz="800" b="1" i="1" u="none" strike="noStrike" baseline="0">
              <a:solidFill>
                <a:srgbClr val="000000"/>
              </a:solidFill>
              <a:latin typeface="Arial"/>
              <a:cs typeface="Arial"/>
            </a:rPr>
            <a:t>&amp; Landing</a:t>
          </a:r>
        </a:p>
      </xdr:txBody>
    </xdr:sp>
    <xdr:clientData/>
  </xdr:oneCellAnchor>
  <xdr:twoCellAnchor>
    <xdr:from>
      <xdr:col>1</xdr:col>
      <xdr:colOff>390525</xdr:colOff>
      <xdr:row>54</xdr:row>
      <xdr:rowOff>38100</xdr:rowOff>
    </xdr:from>
    <xdr:to>
      <xdr:col>1</xdr:col>
      <xdr:colOff>523875</xdr:colOff>
      <xdr:row>54</xdr:row>
      <xdr:rowOff>38100</xdr:rowOff>
    </xdr:to>
    <xdr:sp macro="" textlink="">
      <xdr:nvSpPr>
        <xdr:cNvPr id="36076" name="Line 236"/>
        <xdr:cNvSpPr>
          <a:spLocks noChangeShapeType="1"/>
        </xdr:cNvSpPr>
      </xdr:nvSpPr>
      <xdr:spPr bwMode="auto">
        <a:xfrm>
          <a:off x="1000125" y="8858250"/>
          <a:ext cx="1333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514350</xdr:colOff>
      <xdr:row>52</xdr:row>
      <xdr:rowOff>142875</xdr:rowOff>
    </xdr:from>
    <xdr:to>
      <xdr:col>2</xdr:col>
      <xdr:colOff>47625</xdr:colOff>
      <xdr:row>54</xdr:row>
      <xdr:rowOff>47625</xdr:rowOff>
    </xdr:to>
    <xdr:sp macro="" textlink="">
      <xdr:nvSpPr>
        <xdr:cNvPr id="36077" name="Line 237"/>
        <xdr:cNvSpPr>
          <a:spLocks noChangeShapeType="1"/>
        </xdr:cNvSpPr>
      </xdr:nvSpPr>
      <xdr:spPr bwMode="auto">
        <a:xfrm flipV="1">
          <a:off x="1123950" y="8639175"/>
          <a:ext cx="142875" cy="22860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oval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533400</xdr:colOff>
      <xdr:row>76</xdr:row>
      <xdr:rowOff>19050</xdr:rowOff>
    </xdr:from>
    <xdr:to>
      <xdr:col>7</xdr:col>
      <xdr:colOff>352425</xdr:colOff>
      <xdr:row>76</xdr:row>
      <xdr:rowOff>19050</xdr:rowOff>
    </xdr:to>
    <xdr:sp macro="" textlink="">
      <xdr:nvSpPr>
        <xdr:cNvPr id="36078" name="Line 238"/>
        <xdr:cNvSpPr>
          <a:spLocks noChangeShapeType="1"/>
        </xdr:cNvSpPr>
      </xdr:nvSpPr>
      <xdr:spPr bwMode="auto">
        <a:xfrm flipH="1" flipV="1">
          <a:off x="2362200" y="12401550"/>
          <a:ext cx="225742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304800</xdr:colOff>
      <xdr:row>74</xdr:row>
      <xdr:rowOff>76200</xdr:rowOff>
    </xdr:from>
    <xdr:to>
      <xdr:col>6</xdr:col>
      <xdr:colOff>590550</xdr:colOff>
      <xdr:row>74</xdr:row>
      <xdr:rowOff>76200</xdr:rowOff>
    </xdr:to>
    <xdr:sp macro="" textlink="">
      <xdr:nvSpPr>
        <xdr:cNvPr id="36079" name="Line 239"/>
        <xdr:cNvSpPr>
          <a:spLocks noChangeShapeType="1"/>
        </xdr:cNvSpPr>
      </xdr:nvSpPr>
      <xdr:spPr bwMode="auto">
        <a:xfrm flipH="1">
          <a:off x="2133600" y="12134850"/>
          <a:ext cx="21145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552450</xdr:colOff>
      <xdr:row>53</xdr:row>
      <xdr:rowOff>0</xdr:rowOff>
    </xdr:from>
    <xdr:to>
      <xdr:col>6</xdr:col>
      <xdr:colOff>552450</xdr:colOff>
      <xdr:row>74</xdr:row>
      <xdr:rowOff>85725</xdr:rowOff>
    </xdr:to>
    <xdr:sp macro="" textlink="">
      <xdr:nvSpPr>
        <xdr:cNvPr id="36080" name="Line 240"/>
        <xdr:cNvSpPr>
          <a:spLocks noChangeShapeType="1"/>
        </xdr:cNvSpPr>
      </xdr:nvSpPr>
      <xdr:spPr bwMode="auto">
        <a:xfrm flipH="1" flipV="1">
          <a:off x="4210050" y="8658225"/>
          <a:ext cx="0" cy="348615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6</xdr:col>
      <xdr:colOff>396032</xdr:colOff>
      <xdr:row>53</xdr:row>
      <xdr:rowOff>109540</xdr:rowOff>
    </xdr:from>
    <xdr:ext cx="331886" cy="3295646"/>
    <xdr:sp macro="" textlink="">
      <xdr:nvSpPr>
        <xdr:cNvPr id="36081" name="Text Box 241"/>
        <xdr:cNvSpPr txBox="1">
          <a:spLocks noChangeArrowheads="1"/>
        </xdr:cNvSpPr>
      </xdr:nvSpPr>
      <xdr:spPr bwMode="auto">
        <a:xfrm>
          <a:off x="4053632" y="8767765"/>
          <a:ext cx="331886" cy="3295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="vert270" wrap="none" lIns="18288" tIns="22860" rIns="18288" bIns="22860" anchor="ctr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"X" Spaces @ 1'-0" </a:t>
          </a:r>
          <a:r>
            <a:rPr lang="en-US" sz="1000" b="1" i="0" u="none" strike="noStrike" baseline="0">
              <a:solidFill>
                <a:srgbClr val="FF0000"/>
              </a:solidFill>
              <a:latin typeface="Arial"/>
              <a:cs typeface="Arial"/>
            </a:rPr>
            <a:t>(305mm)</a:t>
          </a: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 MAX. = X'-XX" </a:t>
          </a:r>
          <a:r>
            <a:rPr lang="en-US" sz="800" b="1" i="0" u="none" strike="noStrike" baseline="0">
              <a:solidFill>
                <a:srgbClr val="FF0000"/>
              </a:solidFill>
              <a:latin typeface="Arial"/>
              <a:cs typeface="Arial"/>
            </a:rPr>
            <a:t>(See Note 7)</a:t>
          </a:r>
          <a:endParaRPr lang="en-US" sz="10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lnSpc>
              <a:spcPts val="900"/>
            </a:lnSpc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("X" RUNGS) </a:t>
          </a:r>
        </a:p>
      </xdr:txBody>
    </xdr:sp>
    <xdr:clientData/>
  </xdr:oneCellAnchor>
  <xdr:twoCellAnchor>
    <xdr:from>
      <xdr:col>6</xdr:col>
      <xdr:colOff>552450</xdr:colOff>
      <xdr:row>74</xdr:row>
      <xdr:rowOff>95250</xdr:rowOff>
    </xdr:from>
    <xdr:to>
      <xdr:col>6</xdr:col>
      <xdr:colOff>552450</xdr:colOff>
      <xdr:row>76</xdr:row>
      <xdr:rowOff>57150</xdr:rowOff>
    </xdr:to>
    <xdr:sp macro="" textlink="">
      <xdr:nvSpPr>
        <xdr:cNvPr id="36082" name="Line 242"/>
        <xdr:cNvSpPr>
          <a:spLocks noChangeShapeType="1"/>
        </xdr:cNvSpPr>
      </xdr:nvSpPr>
      <xdr:spPr bwMode="auto">
        <a:xfrm>
          <a:off x="4210050" y="12153900"/>
          <a:ext cx="0" cy="28575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552450</xdr:colOff>
      <xdr:row>76</xdr:row>
      <xdr:rowOff>38100</xdr:rowOff>
    </xdr:from>
    <xdr:to>
      <xdr:col>6</xdr:col>
      <xdr:colOff>552450</xdr:colOff>
      <xdr:row>78</xdr:row>
      <xdr:rowOff>9525</xdr:rowOff>
    </xdr:to>
    <xdr:sp macro="" textlink="">
      <xdr:nvSpPr>
        <xdr:cNvPr id="36083" name="Line 243"/>
        <xdr:cNvSpPr>
          <a:spLocks noChangeShapeType="1"/>
        </xdr:cNvSpPr>
      </xdr:nvSpPr>
      <xdr:spPr bwMode="auto">
        <a:xfrm>
          <a:off x="4210050" y="12420600"/>
          <a:ext cx="0" cy="29527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561975</xdr:colOff>
      <xdr:row>78</xdr:row>
      <xdr:rowOff>0</xdr:rowOff>
    </xdr:from>
    <xdr:to>
      <xdr:col>7</xdr:col>
      <xdr:colOff>114300</xdr:colOff>
      <xdr:row>78</xdr:row>
      <xdr:rowOff>0</xdr:rowOff>
    </xdr:to>
    <xdr:sp macro="" textlink="">
      <xdr:nvSpPr>
        <xdr:cNvPr id="36084" name="Line 244"/>
        <xdr:cNvSpPr>
          <a:spLocks noChangeShapeType="1"/>
        </xdr:cNvSpPr>
      </xdr:nvSpPr>
      <xdr:spPr bwMode="auto">
        <a:xfrm>
          <a:off x="4219575" y="12706350"/>
          <a:ext cx="16192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7</xdr:col>
      <xdr:colOff>114300</xdr:colOff>
      <xdr:row>77</xdr:row>
      <xdr:rowOff>57150</xdr:rowOff>
    </xdr:from>
    <xdr:ext cx="2800350" cy="200025"/>
    <xdr:sp macro="" textlink="">
      <xdr:nvSpPr>
        <xdr:cNvPr id="36085" name="Text Box 245"/>
        <xdr:cNvSpPr txBox="1">
          <a:spLocks noChangeArrowheads="1"/>
        </xdr:cNvSpPr>
      </xdr:nvSpPr>
      <xdr:spPr bwMode="auto">
        <a:xfrm>
          <a:off x="4381500" y="12601575"/>
          <a:ext cx="28003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Odd Spacing Should Always Occur at Bottom</a:t>
          </a:r>
        </a:p>
      </xdr:txBody>
    </xdr:sp>
    <xdr:clientData/>
  </xdr:oneCellAnchor>
  <xdr:twoCellAnchor>
    <xdr:from>
      <xdr:col>7</xdr:col>
      <xdr:colOff>285750</xdr:colOff>
      <xdr:row>52</xdr:row>
      <xdr:rowOff>133350</xdr:rowOff>
    </xdr:from>
    <xdr:to>
      <xdr:col>7</xdr:col>
      <xdr:colOff>285750</xdr:colOff>
      <xdr:row>76</xdr:row>
      <xdr:rowOff>19050</xdr:rowOff>
    </xdr:to>
    <xdr:sp macro="" textlink="">
      <xdr:nvSpPr>
        <xdr:cNvPr id="36086" name="Line 246"/>
        <xdr:cNvSpPr>
          <a:spLocks noChangeShapeType="1"/>
        </xdr:cNvSpPr>
      </xdr:nvSpPr>
      <xdr:spPr bwMode="auto">
        <a:xfrm flipV="1">
          <a:off x="4552950" y="8629650"/>
          <a:ext cx="0" cy="37719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7</xdr:col>
      <xdr:colOff>139349</xdr:colOff>
      <xdr:row>59</xdr:row>
      <xdr:rowOff>160183</xdr:rowOff>
    </xdr:from>
    <xdr:ext cx="302327" cy="1384610"/>
    <xdr:sp macro="" textlink="">
      <xdr:nvSpPr>
        <xdr:cNvPr id="36087" name="Text Box 247"/>
        <xdr:cNvSpPr txBox="1">
          <a:spLocks noChangeArrowheads="1"/>
        </xdr:cNvSpPr>
      </xdr:nvSpPr>
      <xdr:spPr bwMode="auto">
        <a:xfrm>
          <a:off x="4406549" y="9789958"/>
          <a:ext cx="302327" cy="1384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="vert270" wrap="none" lIns="18288" tIns="22860" rIns="18288" bIns="22860" anchor="ctr" upright="1">
          <a:spAutoFit/>
        </a:bodyPr>
        <a:lstStyle/>
        <a:p>
          <a:pPr algn="ctr" rtl="0">
            <a:lnSpc>
              <a:spcPts val="900"/>
            </a:lnSpc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30'-0" </a:t>
          </a:r>
          <a:r>
            <a:rPr lang="en-US" sz="1000" b="1" i="0" u="none" strike="noStrike" baseline="0">
              <a:solidFill>
                <a:srgbClr val="FF0000"/>
              </a:solidFill>
              <a:latin typeface="Arial"/>
              <a:cs typeface="Arial"/>
            </a:rPr>
            <a:t>(9144mm)</a:t>
          </a: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 MAX.</a:t>
          </a:r>
        </a:p>
        <a:p>
          <a:pPr algn="ctr" rtl="0">
            <a:lnSpc>
              <a:spcPts val="800"/>
            </a:lnSpc>
            <a:defRPr sz="1000"/>
          </a:pPr>
          <a:r>
            <a:rPr lang="en-US" sz="800" b="1" i="1" u="none" strike="noStrike" baseline="0">
              <a:solidFill>
                <a:srgbClr val="FF0000"/>
              </a:solidFill>
              <a:latin typeface="Arial"/>
              <a:cs typeface="Arial"/>
            </a:rPr>
            <a:t>See Note 15</a:t>
          </a:r>
        </a:p>
      </xdr:txBody>
    </xdr:sp>
    <xdr:clientData/>
  </xdr:oneCellAnchor>
  <xdr:twoCellAnchor>
    <xdr:from>
      <xdr:col>3</xdr:col>
      <xdr:colOff>504825</xdr:colOff>
      <xdr:row>59</xdr:row>
      <xdr:rowOff>66675</xdr:rowOff>
    </xdr:from>
    <xdr:to>
      <xdr:col>4</xdr:col>
      <xdr:colOff>19050</xdr:colOff>
      <xdr:row>60</xdr:row>
      <xdr:rowOff>19050</xdr:rowOff>
    </xdr:to>
    <xdr:sp macro="" textlink="">
      <xdr:nvSpPr>
        <xdr:cNvPr id="36088" name="Oval 248"/>
        <xdr:cNvSpPr>
          <a:spLocks noChangeArrowheads="1"/>
        </xdr:cNvSpPr>
      </xdr:nvSpPr>
      <xdr:spPr bwMode="auto">
        <a:xfrm>
          <a:off x="2333625" y="9696450"/>
          <a:ext cx="123825" cy="1143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</xdr:spPr>
    </xdr:sp>
    <xdr:clientData/>
  </xdr:twoCellAnchor>
  <xdr:twoCellAnchor>
    <xdr:from>
      <xdr:col>3</xdr:col>
      <xdr:colOff>485775</xdr:colOff>
      <xdr:row>59</xdr:row>
      <xdr:rowOff>47625</xdr:rowOff>
    </xdr:from>
    <xdr:to>
      <xdr:col>3</xdr:col>
      <xdr:colOff>485775</xdr:colOff>
      <xdr:row>61</xdr:row>
      <xdr:rowOff>57150</xdr:rowOff>
    </xdr:to>
    <xdr:sp macro="" textlink="">
      <xdr:nvSpPr>
        <xdr:cNvPr id="36089" name="Line 249"/>
        <xdr:cNvSpPr>
          <a:spLocks noChangeShapeType="1"/>
        </xdr:cNvSpPr>
      </xdr:nvSpPr>
      <xdr:spPr bwMode="auto">
        <a:xfrm>
          <a:off x="2314575" y="9677400"/>
          <a:ext cx="0" cy="3333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323850</xdr:colOff>
      <xdr:row>57</xdr:row>
      <xdr:rowOff>47625</xdr:rowOff>
    </xdr:from>
    <xdr:to>
      <xdr:col>3</xdr:col>
      <xdr:colOff>323850</xdr:colOff>
      <xdr:row>62</xdr:row>
      <xdr:rowOff>66675</xdr:rowOff>
    </xdr:to>
    <xdr:sp macro="" textlink="">
      <xdr:nvSpPr>
        <xdr:cNvPr id="36090" name="Line 250"/>
        <xdr:cNvSpPr>
          <a:spLocks noChangeShapeType="1"/>
        </xdr:cNvSpPr>
      </xdr:nvSpPr>
      <xdr:spPr bwMode="auto">
        <a:xfrm>
          <a:off x="2152650" y="9353550"/>
          <a:ext cx="0" cy="8286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85725</xdr:colOff>
      <xdr:row>60</xdr:row>
      <xdr:rowOff>142875</xdr:rowOff>
    </xdr:from>
    <xdr:to>
      <xdr:col>3</xdr:col>
      <xdr:colOff>323850</xdr:colOff>
      <xdr:row>60</xdr:row>
      <xdr:rowOff>142875</xdr:rowOff>
    </xdr:to>
    <xdr:sp macro="" textlink="">
      <xdr:nvSpPr>
        <xdr:cNvPr id="36091" name="Line 251"/>
        <xdr:cNvSpPr>
          <a:spLocks noChangeShapeType="1"/>
        </xdr:cNvSpPr>
      </xdr:nvSpPr>
      <xdr:spPr bwMode="auto">
        <a:xfrm flipH="1">
          <a:off x="1914525" y="9934575"/>
          <a:ext cx="23812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323850</xdr:colOff>
      <xdr:row>60</xdr:row>
      <xdr:rowOff>142875</xdr:rowOff>
    </xdr:from>
    <xdr:to>
      <xdr:col>3</xdr:col>
      <xdr:colOff>476250</xdr:colOff>
      <xdr:row>60</xdr:row>
      <xdr:rowOff>142875</xdr:rowOff>
    </xdr:to>
    <xdr:sp macro="" textlink="">
      <xdr:nvSpPr>
        <xdr:cNvPr id="36092" name="Line 252"/>
        <xdr:cNvSpPr>
          <a:spLocks noChangeShapeType="1"/>
        </xdr:cNvSpPr>
      </xdr:nvSpPr>
      <xdr:spPr bwMode="auto">
        <a:xfrm>
          <a:off x="2152650" y="9934575"/>
          <a:ext cx="15240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476250</xdr:colOff>
      <xdr:row>60</xdr:row>
      <xdr:rowOff>142875</xdr:rowOff>
    </xdr:from>
    <xdr:to>
      <xdr:col>4</xdr:col>
      <xdr:colOff>19050</xdr:colOff>
      <xdr:row>60</xdr:row>
      <xdr:rowOff>142875</xdr:rowOff>
    </xdr:to>
    <xdr:sp macro="" textlink="">
      <xdr:nvSpPr>
        <xdr:cNvPr id="36093" name="Line 253"/>
        <xdr:cNvSpPr>
          <a:spLocks noChangeShapeType="1"/>
        </xdr:cNvSpPr>
      </xdr:nvSpPr>
      <xdr:spPr bwMode="auto">
        <a:xfrm>
          <a:off x="2305050" y="9934575"/>
          <a:ext cx="15240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4</xdr:col>
      <xdr:colOff>47625</xdr:colOff>
      <xdr:row>60</xdr:row>
      <xdr:rowOff>76200</xdr:rowOff>
    </xdr:from>
    <xdr:ext cx="742950" cy="495300"/>
    <xdr:sp macro="" textlink="">
      <xdr:nvSpPr>
        <xdr:cNvPr id="36094" name="Text Box 254"/>
        <xdr:cNvSpPr txBox="1">
          <a:spLocks noChangeArrowheads="1"/>
        </xdr:cNvSpPr>
      </xdr:nvSpPr>
      <xdr:spPr bwMode="auto">
        <a:xfrm>
          <a:off x="2486025" y="9867900"/>
          <a:ext cx="7429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7" Min. Clr.</a:t>
          </a:r>
        </a:p>
        <a:p>
          <a:pPr algn="l" rtl="0">
            <a:defRPr sz="1000"/>
          </a:pPr>
          <a:r>
            <a:rPr lang="en-US" sz="1000" b="1" i="0" u="none" strike="noStrike" baseline="0">
              <a:solidFill>
                <a:srgbClr val="FF0000"/>
              </a:solidFill>
              <a:latin typeface="Arial"/>
              <a:cs typeface="Arial"/>
            </a:rPr>
            <a:t>(178mm)</a:t>
          </a:r>
          <a:endParaRPr lang="en-US" sz="10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800" b="1" i="1" u="none" strike="noStrike" baseline="0">
              <a:solidFill>
                <a:srgbClr val="FF0000"/>
              </a:solidFill>
              <a:latin typeface="Arial"/>
              <a:cs typeface="Arial"/>
            </a:rPr>
            <a:t>See Note 13</a:t>
          </a:r>
        </a:p>
      </xdr:txBody>
    </xdr:sp>
    <xdr:clientData/>
  </xdr:oneCellAnchor>
  <xdr:twoCellAnchor editAs="oneCell">
    <xdr:from>
      <xdr:col>0</xdr:col>
      <xdr:colOff>152400</xdr:colOff>
      <xdr:row>76</xdr:row>
      <xdr:rowOff>95250</xdr:rowOff>
    </xdr:from>
    <xdr:to>
      <xdr:col>5</xdr:col>
      <xdr:colOff>152400</xdr:colOff>
      <xdr:row>79</xdr:row>
      <xdr:rowOff>57150</xdr:rowOff>
    </xdr:to>
    <xdr:sp macro="" textlink="">
      <xdr:nvSpPr>
        <xdr:cNvPr id="36095" name="Text Box 255"/>
        <xdr:cNvSpPr txBox="1">
          <a:spLocks noChangeArrowheads="1"/>
        </xdr:cNvSpPr>
      </xdr:nvSpPr>
      <xdr:spPr bwMode="auto">
        <a:xfrm>
          <a:off x="152400" y="12477750"/>
          <a:ext cx="30480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en-US" sz="1400" b="1" i="0" u="sng" strike="noStrike" baseline="0">
              <a:solidFill>
                <a:srgbClr val="0000FF"/>
              </a:solidFill>
              <a:latin typeface="Roman"/>
            </a:rPr>
            <a:t>Cages for Ladders More Than 20'-0" </a:t>
          </a:r>
          <a:r>
            <a:rPr lang="en-US" sz="1400" b="1" i="0" u="sng" strike="noStrike" baseline="0">
              <a:solidFill>
                <a:srgbClr val="FF0000"/>
              </a:solidFill>
              <a:latin typeface="Roman"/>
            </a:rPr>
            <a:t>(6096mm)</a:t>
          </a:r>
        </a:p>
      </xdr:txBody>
    </xdr:sp>
    <xdr:clientData/>
  </xdr:twoCellAnchor>
  <xdr:twoCellAnchor>
    <xdr:from>
      <xdr:col>1</xdr:col>
      <xdr:colOff>419100</xdr:colOff>
      <xdr:row>21</xdr:row>
      <xdr:rowOff>142875</xdr:rowOff>
    </xdr:from>
    <xdr:to>
      <xdr:col>1</xdr:col>
      <xdr:colOff>419100</xdr:colOff>
      <xdr:row>23</xdr:row>
      <xdr:rowOff>114300</xdr:rowOff>
    </xdr:to>
    <xdr:sp macro="" textlink="">
      <xdr:nvSpPr>
        <xdr:cNvPr id="36096" name="Line 256"/>
        <xdr:cNvSpPr>
          <a:spLocks noChangeShapeType="1"/>
        </xdr:cNvSpPr>
      </xdr:nvSpPr>
      <xdr:spPr bwMode="auto">
        <a:xfrm flipV="1">
          <a:off x="1028700" y="3619500"/>
          <a:ext cx="0" cy="29527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23</xdr:row>
      <xdr:rowOff>47625</xdr:rowOff>
    </xdr:from>
    <xdr:to>
      <xdr:col>1</xdr:col>
      <xdr:colOff>390525</xdr:colOff>
      <xdr:row>23</xdr:row>
      <xdr:rowOff>114300</xdr:rowOff>
    </xdr:to>
    <xdr:sp macro="" textlink="">
      <xdr:nvSpPr>
        <xdr:cNvPr id="36097" name="Line 257"/>
        <xdr:cNvSpPr>
          <a:spLocks noChangeShapeType="1"/>
        </xdr:cNvSpPr>
      </xdr:nvSpPr>
      <xdr:spPr bwMode="auto">
        <a:xfrm flipV="1">
          <a:off x="1000125" y="3848100"/>
          <a:ext cx="0" cy="666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600075</xdr:colOff>
      <xdr:row>21</xdr:row>
      <xdr:rowOff>142875</xdr:rowOff>
    </xdr:from>
    <xdr:to>
      <xdr:col>1</xdr:col>
      <xdr:colOff>600075</xdr:colOff>
      <xdr:row>24</xdr:row>
      <xdr:rowOff>76200</xdr:rowOff>
    </xdr:to>
    <xdr:sp macro="" textlink="">
      <xdr:nvSpPr>
        <xdr:cNvPr id="36098" name="Line 258"/>
        <xdr:cNvSpPr>
          <a:spLocks noChangeShapeType="1"/>
        </xdr:cNvSpPr>
      </xdr:nvSpPr>
      <xdr:spPr bwMode="auto">
        <a:xfrm flipV="1">
          <a:off x="1209675" y="3619500"/>
          <a:ext cx="0" cy="41910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600075</xdr:colOff>
      <xdr:row>22</xdr:row>
      <xdr:rowOff>0</xdr:rowOff>
    </xdr:from>
    <xdr:to>
      <xdr:col>2</xdr:col>
      <xdr:colOff>114300</xdr:colOff>
      <xdr:row>22</xdr:row>
      <xdr:rowOff>0</xdr:rowOff>
    </xdr:to>
    <xdr:sp macro="" textlink="">
      <xdr:nvSpPr>
        <xdr:cNvPr id="36099" name="Line 259"/>
        <xdr:cNvSpPr>
          <a:spLocks noChangeShapeType="1"/>
        </xdr:cNvSpPr>
      </xdr:nvSpPr>
      <xdr:spPr bwMode="auto">
        <a:xfrm>
          <a:off x="1209675" y="3638550"/>
          <a:ext cx="12382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419100</xdr:colOff>
      <xdr:row>22</xdr:row>
      <xdr:rowOff>0</xdr:rowOff>
    </xdr:from>
    <xdr:to>
      <xdr:col>1</xdr:col>
      <xdr:colOff>600075</xdr:colOff>
      <xdr:row>22</xdr:row>
      <xdr:rowOff>0</xdr:rowOff>
    </xdr:to>
    <xdr:sp macro="" textlink="">
      <xdr:nvSpPr>
        <xdr:cNvPr id="36100" name="Line 260"/>
        <xdr:cNvSpPr>
          <a:spLocks noChangeShapeType="1"/>
        </xdr:cNvSpPr>
      </xdr:nvSpPr>
      <xdr:spPr bwMode="auto">
        <a:xfrm flipH="1">
          <a:off x="1028700" y="3638550"/>
          <a:ext cx="18097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600075</xdr:colOff>
      <xdr:row>22</xdr:row>
      <xdr:rowOff>0</xdr:rowOff>
    </xdr:from>
    <xdr:to>
      <xdr:col>1</xdr:col>
      <xdr:colOff>419100</xdr:colOff>
      <xdr:row>22</xdr:row>
      <xdr:rowOff>0</xdr:rowOff>
    </xdr:to>
    <xdr:sp macro="" textlink="">
      <xdr:nvSpPr>
        <xdr:cNvPr id="36101" name="Line 261"/>
        <xdr:cNvSpPr>
          <a:spLocks noChangeShapeType="1"/>
        </xdr:cNvSpPr>
      </xdr:nvSpPr>
      <xdr:spPr bwMode="auto">
        <a:xfrm flipH="1">
          <a:off x="600075" y="3638550"/>
          <a:ext cx="42862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9525</xdr:colOff>
      <xdr:row>24</xdr:row>
      <xdr:rowOff>9525</xdr:rowOff>
    </xdr:from>
    <xdr:to>
      <xdr:col>2</xdr:col>
      <xdr:colOff>9525</xdr:colOff>
      <xdr:row>24</xdr:row>
      <xdr:rowOff>76200</xdr:rowOff>
    </xdr:to>
    <xdr:sp macro="" textlink="">
      <xdr:nvSpPr>
        <xdr:cNvPr id="36102" name="Line 262"/>
        <xdr:cNvSpPr>
          <a:spLocks noChangeShapeType="1"/>
        </xdr:cNvSpPr>
      </xdr:nvSpPr>
      <xdr:spPr bwMode="auto">
        <a:xfrm flipV="1">
          <a:off x="1228725" y="3971925"/>
          <a:ext cx="0" cy="666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0</xdr:col>
      <xdr:colOff>0</xdr:colOff>
      <xdr:row>20</xdr:row>
      <xdr:rowOff>152400</xdr:rowOff>
    </xdr:from>
    <xdr:ext cx="1076325" cy="333375"/>
    <xdr:sp macro="" textlink="">
      <xdr:nvSpPr>
        <xdr:cNvPr id="36103" name="Text Box 263"/>
        <xdr:cNvSpPr txBox="1">
          <a:spLocks noChangeArrowheads="1"/>
        </xdr:cNvSpPr>
      </xdr:nvSpPr>
      <xdr:spPr bwMode="auto">
        <a:xfrm>
          <a:off x="0" y="3467100"/>
          <a:ext cx="10763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16" </a:t>
          </a:r>
          <a:r>
            <a:rPr lang="en-US" sz="1000" b="1" i="0" u="none" strike="noStrike" baseline="0">
              <a:solidFill>
                <a:srgbClr val="FF0000"/>
              </a:solidFill>
              <a:latin typeface="Arial"/>
              <a:cs typeface="Arial"/>
            </a:rPr>
            <a:t>(407mm)</a:t>
          </a: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 MIN</a:t>
          </a:r>
        </a:p>
        <a:p>
          <a:pPr algn="l" rtl="0">
            <a:defRPr sz="1000"/>
          </a:pPr>
          <a:r>
            <a:rPr lang="en-US" sz="800" b="1" i="1" u="none" strike="noStrike" baseline="0">
              <a:solidFill>
                <a:srgbClr val="FF0000"/>
              </a:solidFill>
              <a:latin typeface="Arial"/>
              <a:cs typeface="Arial"/>
            </a:rPr>
            <a:t>See Note 10  </a:t>
          </a:r>
        </a:p>
      </xdr:txBody>
    </xdr:sp>
    <xdr:clientData/>
  </xdr:oneCellAnchor>
  <xdr:twoCellAnchor>
    <xdr:from>
      <xdr:col>3</xdr:col>
      <xdr:colOff>323850</xdr:colOff>
      <xdr:row>65</xdr:row>
      <xdr:rowOff>142875</xdr:rowOff>
    </xdr:from>
    <xdr:to>
      <xdr:col>3</xdr:col>
      <xdr:colOff>600075</xdr:colOff>
      <xdr:row>66</xdr:row>
      <xdr:rowOff>38100</xdr:rowOff>
    </xdr:to>
    <xdr:sp macro="" textlink="">
      <xdr:nvSpPr>
        <xdr:cNvPr id="36104" name="Rectangle 264"/>
        <xdr:cNvSpPr>
          <a:spLocks noChangeArrowheads="1"/>
        </xdr:cNvSpPr>
      </xdr:nvSpPr>
      <xdr:spPr bwMode="auto">
        <a:xfrm>
          <a:off x="2152650" y="10744200"/>
          <a:ext cx="276225" cy="571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9050">
          <a:solidFill>
            <a:srgbClr xmlns:mc="http://schemas.openxmlformats.org/markup-compatibility/2006" xmlns:a14="http://schemas.microsoft.com/office/drawing/2010/main" val="FF6600" mc:Ignorable="a14" a14:legacySpreadsheetColorIndex="53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323850</xdr:colOff>
      <xdr:row>53</xdr:row>
      <xdr:rowOff>19050</xdr:rowOff>
    </xdr:from>
    <xdr:to>
      <xdr:col>3</xdr:col>
      <xdr:colOff>514350</xdr:colOff>
      <xdr:row>53</xdr:row>
      <xdr:rowOff>66675</xdr:rowOff>
    </xdr:to>
    <xdr:sp macro="" textlink="">
      <xdr:nvSpPr>
        <xdr:cNvPr id="36107" name="Rectangle 267"/>
        <xdr:cNvSpPr>
          <a:spLocks noChangeArrowheads="1"/>
        </xdr:cNvSpPr>
      </xdr:nvSpPr>
      <xdr:spPr bwMode="auto">
        <a:xfrm>
          <a:off x="2152650" y="8677275"/>
          <a:ext cx="190500" cy="476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9050">
          <a:solidFill>
            <a:srgbClr xmlns:mc="http://schemas.openxmlformats.org/markup-compatibility/2006" xmlns:a14="http://schemas.microsoft.com/office/drawing/2010/main" val="FF6600" mc:Ignorable="a14" a14:legacySpreadsheetColorIndex="53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552450</xdr:colOff>
      <xdr:row>65</xdr:row>
      <xdr:rowOff>47625</xdr:rowOff>
    </xdr:from>
    <xdr:to>
      <xdr:col>4</xdr:col>
      <xdr:colOff>85725</xdr:colOff>
      <xdr:row>65</xdr:row>
      <xdr:rowOff>76200</xdr:rowOff>
    </xdr:to>
    <xdr:sp macro="" textlink="">
      <xdr:nvSpPr>
        <xdr:cNvPr id="36110" name="Rectangle 270"/>
        <xdr:cNvSpPr>
          <a:spLocks noChangeArrowheads="1"/>
        </xdr:cNvSpPr>
      </xdr:nvSpPr>
      <xdr:spPr bwMode="auto">
        <a:xfrm>
          <a:off x="2381250" y="10648950"/>
          <a:ext cx="142875" cy="28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952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65</xdr:row>
      <xdr:rowOff>76200</xdr:rowOff>
    </xdr:from>
    <xdr:to>
      <xdr:col>4</xdr:col>
      <xdr:colOff>28575</xdr:colOff>
      <xdr:row>66</xdr:row>
      <xdr:rowOff>85725</xdr:rowOff>
    </xdr:to>
    <xdr:sp macro="" textlink="">
      <xdr:nvSpPr>
        <xdr:cNvPr id="36112" name="Rectangle 272"/>
        <xdr:cNvSpPr>
          <a:spLocks noChangeArrowheads="1"/>
        </xdr:cNvSpPr>
      </xdr:nvSpPr>
      <xdr:spPr bwMode="auto">
        <a:xfrm>
          <a:off x="2438400" y="10677525"/>
          <a:ext cx="28575" cy="1714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952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552450</xdr:colOff>
      <xdr:row>66</xdr:row>
      <xdr:rowOff>85725</xdr:rowOff>
    </xdr:from>
    <xdr:to>
      <xdr:col>4</xdr:col>
      <xdr:colOff>85725</xdr:colOff>
      <xdr:row>66</xdr:row>
      <xdr:rowOff>114300</xdr:rowOff>
    </xdr:to>
    <xdr:sp macro="" textlink="">
      <xdr:nvSpPr>
        <xdr:cNvPr id="36113" name="Rectangle 273"/>
        <xdr:cNvSpPr>
          <a:spLocks noChangeArrowheads="1"/>
        </xdr:cNvSpPr>
      </xdr:nvSpPr>
      <xdr:spPr bwMode="auto">
        <a:xfrm>
          <a:off x="2381250" y="10848975"/>
          <a:ext cx="142875" cy="28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952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523875</xdr:colOff>
      <xdr:row>56</xdr:row>
      <xdr:rowOff>142875</xdr:rowOff>
    </xdr:from>
    <xdr:to>
      <xdr:col>4</xdr:col>
      <xdr:colOff>57150</xdr:colOff>
      <xdr:row>57</xdr:row>
      <xdr:rowOff>9525</xdr:rowOff>
    </xdr:to>
    <xdr:sp macro="" textlink="">
      <xdr:nvSpPr>
        <xdr:cNvPr id="36114" name="Rectangle 274"/>
        <xdr:cNvSpPr>
          <a:spLocks noChangeArrowheads="1"/>
        </xdr:cNvSpPr>
      </xdr:nvSpPr>
      <xdr:spPr bwMode="auto">
        <a:xfrm>
          <a:off x="2352675" y="9286875"/>
          <a:ext cx="142875" cy="28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952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304800</xdr:colOff>
      <xdr:row>57</xdr:row>
      <xdr:rowOff>57150</xdr:rowOff>
    </xdr:from>
    <xdr:to>
      <xdr:col>3</xdr:col>
      <xdr:colOff>581025</xdr:colOff>
      <xdr:row>57</xdr:row>
      <xdr:rowOff>114300</xdr:rowOff>
    </xdr:to>
    <xdr:sp macro="" textlink="">
      <xdr:nvSpPr>
        <xdr:cNvPr id="36115" name="Rectangle 275"/>
        <xdr:cNvSpPr>
          <a:spLocks noChangeArrowheads="1"/>
        </xdr:cNvSpPr>
      </xdr:nvSpPr>
      <xdr:spPr bwMode="auto">
        <a:xfrm>
          <a:off x="2133600" y="9363075"/>
          <a:ext cx="276225" cy="571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9050">
          <a:solidFill>
            <a:srgbClr xmlns:mc="http://schemas.openxmlformats.org/markup-compatibility/2006" xmlns:a14="http://schemas.microsoft.com/office/drawing/2010/main" val="FF6600" mc:Ignorable="a14" a14:legacySpreadsheetColorIndex="53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581025</xdr:colOff>
      <xdr:row>57</xdr:row>
      <xdr:rowOff>9525</xdr:rowOff>
    </xdr:from>
    <xdr:to>
      <xdr:col>4</xdr:col>
      <xdr:colOff>0</xdr:colOff>
      <xdr:row>58</xdr:row>
      <xdr:rowOff>19050</xdr:rowOff>
    </xdr:to>
    <xdr:sp macro="" textlink="">
      <xdr:nvSpPr>
        <xdr:cNvPr id="36116" name="Rectangle 276"/>
        <xdr:cNvSpPr>
          <a:spLocks noChangeArrowheads="1"/>
        </xdr:cNvSpPr>
      </xdr:nvSpPr>
      <xdr:spPr bwMode="auto">
        <a:xfrm>
          <a:off x="2409825" y="9315450"/>
          <a:ext cx="28575" cy="1714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952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523875</xdr:colOff>
      <xdr:row>58</xdr:row>
      <xdr:rowOff>19050</xdr:rowOff>
    </xdr:from>
    <xdr:to>
      <xdr:col>4</xdr:col>
      <xdr:colOff>57150</xdr:colOff>
      <xdr:row>58</xdr:row>
      <xdr:rowOff>47625</xdr:rowOff>
    </xdr:to>
    <xdr:sp macro="" textlink="">
      <xdr:nvSpPr>
        <xdr:cNvPr id="36117" name="Rectangle 277"/>
        <xdr:cNvSpPr>
          <a:spLocks noChangeArrowheads="1"/>
        </xdr:cNvSpPr>
      </xdr:nvSpPr>
      <xdr:spPr bwMode="auto">
        <a:xfrm>
          <a:off x="2352675" y="9486900"/>
          <a:ext cx="142875" cy="28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952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152400</xdr:colOff>
      <xdr:row>67</xdr:row>
      <xdr:rowOff>142875</xdr:rowOff>
    </xdr:from>
    <xdr:to>
      <xdr:col>5</xdr:col>
      <xdr:colOff>457200</xdr:colOff>
      <xdr:row>69</xdr:row>
      <xdr:rowOff>142875</xdr:rowOff>
    </xdr:to>
    <xdr:sp macro="" textlink="">
      <xdr:nvSpPr>
        <xdr:cNvPr id="36124" name="Text Box 284"/>
        <xdr:cNvSpPr txBox="1">
          <a:spLocks noChangeArrowheads="1"/>
        </xdr:cNvSpPr>
      </xdr:nvSpPr>
      <xdr:spPr bwMode="auto">
        <a:xfrm>
          <a:off x="2590800" y="11068050"/>
          <a:ext cx="9144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sz="800" b="1" i="1" u="none" strike="noStrike" baseline="0">
              <a:solidFill>
                <a:srgbClr val="000000"/>
              </a:solidFill>
              <a:latin typeface="Arial"/>
              <a:cs typeface="Arial"/>
            </a:rPr>
            <a:t>Ladder Supt.</a:t>
          </a:r>
        </a:p>
        <a:p>
          <a:pPr algn="l" rtl="0">
            <a:defRPr sz="1000"/>
          </a:pPr>
          <a:r>
            <a:rPr lang="en-US" sz="800" b="1" i="1" u="none" strike="noStrike" baseline="0">
              <a:solidFill>
                <a:srgbClr val="000000"/>
              </a:solidFill>
              <a:latin typeface="Arial"/>
              <a:cs typeface="Arial"/>
            </a:rPr>
            <a:t>(Typ.)</a:t>
          </a:r>
        </a:p>
      </xdr:txBody>
    </xdr:sp>
    <xdr:clientData/>
  </xdr:twoCellAnchor>
  <xdr:twoCellAnchor>
    <xdr:from>
      <xdr:col>3</xdr:col>
      <xdr:colOff>447675</xdr:colOff>
      <xdr:row>66</xdr:row>
      <xdr:rowOff>47625</xdr:rowOff>
    </xdr:from>
    <xdr:to>
      <xdr:col>4</xdr:col>
      <xdr:colOff>85725</xdr:colOff>
      <xdr:row>68</xdr:row>
      <xdr:rowOff>57150</xdr:rowOff>
    </xdr:to>
    <xdr:sp macro="" textlink="">
      <xdr:nvSpPr>
        <xdr:cNvPr id="36127" name="Line 287"/>
        <xdr:cNvSpPr>
          <a:spLocks noChangeShapeType="1"/>
        </xdr:cNvSpPr>
      </xdr:nvSpPr>
      <xdr:spPr bwMode="auto">
        <a:xfrm>
          <a:off x="2276475" y="10810875"/>
          <a:ext cx="247650" cy="3333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371475</xdr:colOff>
      <xdr:row>28</xdr:row>
      <xdr:rowOff>133350</xdr:rowOff>
    </xdr:from>
    <xdr:to>
      <xdr:col>8</xdr:col>
      <xdr:colOff>428625</xdr:colOff>
      <xdr:row>34</xdr:row>
      <xdr:rowOff>104775</xdr:rowOff>
    </xdr:to>
    <xdr:sp macro="" textlink="">
      <xdr:nvSpPr>
        <xdr:cNvPr id="33794" name="AutoShape 2"/>
        <xdr:cNvSpPr>
          <a:spLocks noChangeArrowheads="1"/>
        </xdr:cNvSpPr>
      </xdr:nvSpPr>
      <xdr:spPr bwMode="auto">
        <a:xfrm rot="-5400000">
          <a:off x="4667250" y="4038600"/>
          <a:ext cx="1028700" cy="2209800"/>
        </a:xfrm>
        <a:prstGeom prst="rtTriangl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523875</xdr:colOff>
      <xdr:row>30</xdr:row>
      <xdr:rowOff>47625</xdr:rowOff>
    </xdr:from>
    <xdr:to>
      <xdr:col>6</xdr:col>
      <xdr:colOff>76200</xdr:colOff>
      <xdr:row>34</xdr:row>
      <xdr:rowOff>19050</xdr:rowOff>
    </xdr:to>
    <xdr:sp macro="" textlink="">
      <xdr:nvSpPr>
        <xdr:cNvPr id="33795" name="Line 3"/>
        <xdr:cNvSpPr>
          <a:spLocks noChangeShapeType="1"/>
        </xdr:cNvSpPr>
      </xdr:nvSpPr>
      <xdr:spPr bwMode="auto">
        <a:xfrm flipH="1" flipV="1">
          <a:off x="4229100" y="4905375"/>
          <a:ext cx="342900" cy="6667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oval" w="med" len="med"/>
          <a:tailEnd type="oval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676275</xdr:colOff>
      <xdr:row>31</xdr:row>
      <xdr:rowOff>104775</xdr:rowOff>
    </xdr:from>
    <xdr:to>
      <xdr:col>16</xdr:col>
      <xdr:colOff>609600</xdr:colOff>
      <xdr:row>31</xdr:row>
      <xdr:rowOff>104775</xdr:rowOff>
    </xdr:to>
    <xdr:sp macro="" textlink="">
      <xdr:nvSpPr>
        <xdr:cNvPr id="33796" name="Line 4"/>
        <xdr:cNvSpPr>
          <a:spLocks noChangeShapeType="1"/>
        </xdr:cNvSpPr>
      </xdr:nvSpPr>
      <xdr:spPr bwMode="auto">
        <a:xfrm flipH="1">
          <a:off x="9658350" y="5143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190500</xdr:colOff>
      <xdr:row>29</xdr:row>
      <xdr:rowOff>19050</xdr:rowOff>
    </xdr:from>
    <xdr:to>
      <xdr:col>7</xdr:col>
      <xdr:colOff>276225</xdr:colOff>
      <xdr:row>31</xdr:row>
      <xdr:rowOff>66675</xdr:rowOff>
    </xdr:to>
    <xdr:sp macro="" textlink="">
      <xdr:nvSpPr>
        <xdr:cNvPr id="33797" name="Line 5"/>
        <xdr:cNvSpPr>
          <a:spLocks noChangeShapeType="1"/>
        </xdr:cNvSpPr>
      </xdr:nvSpPr>
      <xdr:spPr bwMode="auto">
        <a:xfrm flipH="1">
          <a:off x="5295900" y="4695825"/>
          <a:ext cx="85725" cy="4095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oval" w="med" len="med"/>
          <a:tailEnd type="oval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28</xdr:row>
      <xdr:rowOff>123825</xdr:rowOff>
    </xdr:from>
    <xdr:to>
      <xdr:col>9</xdr:col>
      <xdr:colOff>504825</xdr:colOff>
      <xdr:row>28</xdr:row>
      <xdr:rowOff>123825</xdr:rowOff>
    </xdr:to>
    <xdr:sp macro="" textlink="">
      <xdr:nvSpPr>
        <xdr:cNvPr id="33798" name="Line 6"/>
        <xdr:cNvSpPr>
          <a:spLocks noChangeShapeType="1"/>
        </xdr:cNvSpPr>
      </xdr:nvSpPr>
      <xdr:spPr bwMode="auto">
        <a:xfrm>
          <a:off x="6381750" y="4619625"/>
          <a:ext cx="5905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323850</xdr:colOff>
      <xdr:row>28</xdr:row>
      <xdr:rowOff>133350</xdr:rowOff>
    </xdr:from>
    <xdr:to>
      <xdr:col>9</xdr:col>
      <xdr:colOff>323850</xdr:colOff>
      <xdr:row>30</xdr:row>
      <xdr:rowOff>19050</xdr:rowOff>
    </xdr:to>
    <xdr:sp macro="" textlink="">
      <xdr:nvSpPr>
        <xdr:cNvPr id="33799" name="Line 7"/>
        <xdr:cNvSpPr>
          <a:spLocks noChangeShapeType="1"/>
        </xdr:cNvSpPr>
      </xdr:nvSpPr>
      <xdr:spPr bwMode="auto">
        <a:xfrm>
          <a:off x="6791325" y="4629150"/>
          <a:ext cx="0" cy="2476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504825</xdr:colOff>
      <xdr:row>34</xdr:row>
      <xdr:rowOff>85725</xdr:rowOff>
    </xdr:from>
    <xdr:to>
      <xdr:col>9</xdr:col>
      <xdr:colOff>485775</xdr:colOff>
      <xdr:row>34</xdr:row>
      <xdr:rowOff>85725</xdr:rowOff>
    </xdr:to>
    <xdr:sp macro="" textlink="">
      <xdr:nvSpPr>
        <xdr:cNvPr id="33800" name="Line 8"/>
        <xdr:cNvSpPr>
          <a:spLocks noChangeShapeType="1"/>
        </xdr:cNvSpPr>
      </xdr:nvSpPr>
      <xdr:spPr bwMode="auto">
        <a:xfrm>
          <a:off x="6362700" y="5638800"/>
          <a:ext cx="5905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333375</xdr:colOff>
      <xdr:row>32</xdr:row>
      <xdr:rowOff>9525</xdr:rowOff>
    </xdr:from>
    <xdr:to>
      <xdr:col>9</xdr:col>
      <xdr:colOff>333375</xdr:colOff>
      <xdr:row>34</xdr:row>
      <xdr:rowOff>85725</xdr:rowOff>
    </xdr:to>
    <xdr:sp macro="" textlink="">
      <xdr:nvSpPr>
        <xdr:cNvPr id="33801" name="Line 9"/>
        <xdr:cNvSpPr>
          <a:spLocks noChangeShapeType="1"/>
        </xdr:cNvSpPr>
      </xdr:nvSpPr>
      <xdr:spPr bwMode="auto">
        <a:xfrm flipV="1">
          <a:off x="6800850" y="5229225"/>
          <a:ext cx="0" cy="4095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438150</xdr:colOff>
      <xdr:row>34</xdr:row>
      <xdr:rowOff>133350</xdr:rowOff>
    </xdr:from>
    <xdr:to>
      <xdr:col>8</xdr:col>
      <xdr:colOff>438150</xdr:colOff>
      <xdr:row>37</xdr:row>
      <xdr:rowOff>19050</xdr:rowOff>
    </xdr:to>
    <xdr:sp macro="" textlink="">
      <xdr:nvSpPr>
        <xdr:cNvPr id="33802" name="Line 10"/>
        <xdr:cNvSpPr>
          <a:spLocks noChangeShapeType="1"/>
        </xdr:cNvSpPr>
      </xdr:nvSpPr>
      <xdr:spPr bwMode="auto">
        <a:xfrm>
          <a:off x="6296025" y="5686425"/>
          <a:ext cx="0" cy="4000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9525</xdr:colOff>
      <xdr:row>36</xdr:row>
      <xdr:rowOff>85725</xdr:rowOff>
    </xdr:from>
    <xdr:to>
      <xdr:col>8</xdr:col>
      <xdr:colOff>438150</xdr:colOff>
      <xdr:row>36</xdr:row>
      <xdr:rowOff>85725</xdr:rowOff>
    </xdr:to>
    <xdr:sp macro="" textlink="">
      <xdr:nvSpPr>
        <xdr:cNvPr id="33803" name="Line 11"/>
        <xdr:cNvSpPr>
          <a:spLocks noChangeShapeType="1"/>
        </xdr:cNvSpPr>
      </xdr:nvSpPr>
      <xdr:spPr bwMode="auto">
        <a:xfrm flipH="1">
          <a:off x="5867400" y="5972175"/>
          <a:ext cx="4286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314325</xdr:colOff>
      <xdr:row>34</xdr:row>
      <xdr:rowOff>142875</xdr:rowOff>
    </xdr:from>
    <xdr:to>
      <xdr:col>5</xdr:col>
      <xdr:colOff>314325</xdr:colOff>
      <xdr:row>37</xdr:row>
      <xdr:rowOff>28575</xdr:rowOff>
    </xdr:to>
    <xdr:sp macro="" textlink="">
      <xdr:nvSpPr>
        <xdr:cNvPr id="33804" name="Line 12"/>
        <xdr:cNvSpPr>
          <a:spLocks noChangeShapeType="1"/>
        </xdr:cNvSpPr>
      </xdr:nvSpPr>
      <xdr:spPr bwMode="auto">
        <a:xfrm>
          <a:off x="4019550" y="5695950"/>
          <a:ext cx="0" cy="4000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314325</xdr:colOff>
      <xdr:row>36</xdr:row>
      <xdr:rowOff>95250</xdr:rowOff>
    </xdr:from>
    <xdr:to>
      <xdr:col>6</xdr:col>
      <xdr:colOff>600075</xdr:colOff>
      <xdr:row>36</xdr:row>
      <xdr:rowOff>95250</xdr:rowOff>
    </xdr:to>
    <xdr:sp macro="" textlink="">
      <xdr:nvSpPr>
        <xdr:cNvPr id="33805" name="Line 13"/>
        <xdr:cNvSpPr>
          <a:spLocks noChangeShapeType="1"/>
        </xdr:cNvSpPr>
      </xdr:nvSpPr>
      <xdr:spPr bwMode="auto">
        <a:xfrm>
          <a:off x="4019550" y="5981700"/>
          <a:ext cx="10763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628650</xdr:colOff>
      <xdr:row>23</xdr:row>
      <xdr:rowOff>104775</xdr:rowOff>
    </xdr:from>
    <xdr:to>
      <xdr:col>6</xdr:col>
      <xdr:colOff>9525</xdr:colOff>
      <xdr:row>23</xdr:row>
      <xdr:rowOff>104775</xdr:rowOff>
    </xdr:to>
    <xdr:sp macro="" textlink="">
      <xdr:nvSpPr>
        <xdr:cNvPr id="33806" name="Line 14"/>
        <xdr:cNvSpPr>
          <a:spLocks noChangeShapeType="1"/>
        </xdr:cNvSpPr>
      </xdr:nvSpPr>
      <xdr:spPr bwMode="auto">
        <a:xfrm flipH="1">
          <a:off x="4333875" y="3752850"/>
          <a:ext cx="1714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419100</xdr:colOff>
      <xdr:row>9</xdr:row>
      <xdr:rowOff>152400</xdr:rowOff>
    </xdr:from>
    <xdr:to>
      <xdr:col>5</xdr:col>
      <xdr:colOff>247650</xdr:colOff>
      <xdr:row>19</xdr:row>
      <xdr:rowOff>142875</xdr:rowOff>
    </xdr:to>
    <xdr:sp macro="" textlink="">
      <xdr:nvSpPr>
        <xdr:cNvPr id="32770" name="Oval 2"/>
        <xdr:cNvSpPr>
          <a:spLocks noChangeArrowheads="1"/>
        </xdr:cNvSpPr>
      </xdr:nvSpPr>
      <xdr:spPr bwMode="auto">
        <a:xfrm>
          <a:off x="1590675" y="1714500"/>
          <a:ext cx="1657350" cy="17145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2857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dashDot"/>
          <a:round/>
          <a:headEnd/>
          <a:tailEnd/>
        </a:ln>
      </xdr:spPr>
    </xdr:sp>
    <xdr:clientData/>
  </xdr:twoCellAnchor>
  <xdr:twoCellAnchor>
    <xdr:from>
      <xdr:col>2</xdr:col>
      <xdr:colOff>161925</xdr:colOff>
      <xdr:row>5</xdr:row>
      <xdr:rowOff>142875</xdr:rowOff>
    </xdr:from>
    <xdr:to>
      <xdr:col>6</xdr:col>
      <xdr:colOff>304800</xdr:colOff>
      <xdr:row>24</xdr:row>
      <xdr:rowOff>9525</xdr:rowOff>
    </xdr:to>
    <xdr:sp macro="" textlink="">
      <xdr:nvSpPr>
        <xdr:cNvPr id="32771" name="AutoShape 3"/>
        <xdr:cNvSpPr>
          <a:spLocks noChangeArrowheads="1"/>
        </xdr:cNvSpPr>
      </xdr:nvSpPr>
      <xdr:spPr bwMode="auto">
        <a:xfrm rot="5813229">
          <a:off x="1052513" y="1309687"/>
          <a:ext cx="3143250" cy="2581275"/>
        </a:xfrm>
        <a:custGeom>
          <a:avLst/>
          <a:gdLst>
            <a:gd name="G0" fmla="+- 6621 0 0"/>
            <a:gd name="G1" fmla="+- -11020353 0 0"/>
            <a:gd name="G2" fmla="+- 0 0 -11020353"/>
            <a:gd name="T0" fmla="*/ 0 256 1"/>
            <a:gd name="T1" fmla="*/ 180 256 1"/>
            <a:gd name="G3" fmla="+- -11020353 T0 T1"/>
            <a:gd name="T2" fmla="*/ 0 256 1"/>
            <a:gd name="T3" fmla="*/ 90 256 1"/>
            <a:gd name="G4" fmla="+- -11020353 T2 T3"/>
            <a:gd name="G5" fmla="*/ G4 2 1"/>
            <a:gd name="T4" fmla="*/ 90 256 1"/>
            <a:gd name="T5" fmla="*/ 0 256 1"/>
            <a:gd name="G6" fmla="+- -11020353 T4 T5"/>
            <a:gd name="G7" fmla="*/ G6 2 1"/>
            <a:gd name="G8" fmla="abs -11020353"/>
            <a:gd name="T6" fmla="*/ 0 256 1"/>
            <a:gd name="T7" fmla="*/ 90 256 1"/>
            <a:gd name="G9" fmla="+- G8 T6 T7"/>
            <a:gd name="G10" fmla="?: G9 G7 G5"/>
            <a:gd name="T8" fmla="*/ 0 256 1"/>
            <a:gd name="T9" fmla="*/ 360 256 1"/>
            <a:gd name="G11" fmla="+- G10 T8 T9"/>
            <a:gd name="G12" fmla="?: G10 G11 G10"/>
            <a:gd name="T10" fmla="*/ 0 256 1"/>
            <a:gd name="T11" fmla="*/ 360 256 1"/>
            <a:gd name="G13" fmla="+- G12 T10 T11"/>
            <a:gd name="G14" fmla="?: G12 G13 G12"/>
            <a:gd name="G15" fmla="+- 0 0 G14"/>
            <a:gd name="G16" fmla="+- 10800 0 0"/>
            <a:gd name="G17" fmla="+- 10800 0 6621"/>
            <a:gd name="G18" fmla="*/ 6621 1 2"/>
            <a:gd name="G19" fmla="+- G18 5400 0"/>
            <a:gd name="G20" fmla="cos G19 -11020353"/>
            <a:gd name="G21" fmla="sin G19 -11020353"/>
            <a:gd name="G22" fmla="+- G20 10800 0"/>
            <a:gd name="G23" fmla="+- G21 10800 0"/>
            <a:gd name="G24" fmla="+- 10800 0 G20"/>
            <a:gd name="G25" fmla="+- 6621 10800 0"/>
            <a:gd name="G26" fmla="?: G9 G17 G25"/>
            <a:gd name="G27" fmla="?: G9 0 21600"/>
            <a:gd name="G28" fmla="cos 10800 -11020353"/>
            <a:gd name="G29" fmla="sin 10800 -11020353"/>
            <a:gd name="G30" fmla="sin 6621 -11020353"/>
            <a:gd name="G31" fmla="+- G28 10800 0"/>
            <a:gd name="G32" fmla="+- G29 10800 0"/>
            <a:gd name="G33" fmla="+- G30 10800 0"/>
            <a:gd name="G34" fmla="?: G4 0 G31"/>
            <a:gd name="G35" fmla="?: -11020353 G34 0"/>
            <a:gd name="G36" fmla="?: G6 G35 G31"/>
            <a:gd name="G37" fmla="+- 21600 0 G36"/>
            <a:gd name="G38" fmla="?: G4 0 G33"/>
            <a:gd name="G39" fmla="?: -11020353 G38 G32"/>
            <a:gd name="G40" fmla="?: G6 G39 0"/>
            <a:gd name="G41" fmla="?: G4 G32 21600"/>
            <a:gd name="G42" fmla="?: G6 G41 G33"/>
            <a:gd name="T12" fmla="*/ 10800 w 21600"/>
            <a:gd name="T13" fmla="*/ 0 h 21600"/>
            <a:gd name="T14" fmla="*/ 2274 w 21600"/>
            <a:gd name="T15" fmla="*/ 9012 h 21600"/>
            <a:gd name="T16" fmla="*/ 10800 w 21600"/>
            <a:gd name="T17" fmla="*/ 4179 h 21600"/>
            <a:gd name="T18" fmla="*/ 19326 w 21600"/>
            <a:gd name="T19" fmla="*/ 9012 h 21600"/>
            <a:gd name="T20" fmla="*/ G36 w 21600"/>
            <a:gd name="T21" fmla="*/ G40 h 21600"/>
            <a:gd name="T22" fmla="*/ G37 w 21600"/>
            <a:gd name="T23" fmla="*/ G42 h 21600"/>
          </a:gdLst>
          <a:ahLst/>
          <a:cxnLst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</a:cxnLst>
          <a:rect l="T20" t="T21" r="T22" b="T23"/>
          <a:pathLst>
            <a:path w="21600" h="21600">
              <a:moveTo>
                <a:pt x="4319" y="9441"/>
              </a:moveTo>
              <a:cubicBezTo>
                <a:pt x="4962" y="6374"/>
                <a:pt x="7667" y="4178"/>
                <a:pt x="10800" y="4179"/>
              </a:cubicBezTo>
              <a:cubicBezTo>
                <a:pt x="13932" y="4179"/>
                <a:pt x="16637" y="6374"/>
                <a:pt x="17280" y="9441"/>
              </a:cubicBezTo>
              <a:lnTo>
                <a:pt x="21370" y="8583"/>
              </a:lnTo>
              <a:cubicBezTo>
                <a:pt x="20321" y="3581"/>
                <a:pt x="15910" y="-1"/>
                <a:pt x="10799" y="0"/>
              </a:cubicBezTo>
              <a:cubicBezTo>
                <a:pt x="5689" y="0"/>
                <a:pt x="1278" y="3581"/>
                <a:pt x="229" y="8583"/>
              </a:cubicBezTo>
              <a:close/>
            </a:path>
          </a:pathLst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8575">
          <a:solidFill>
            <a:srgbClr xmlns:mc="http://schemas.openxmlformats.org/markup-compatibility/2006" xmlns:a14="http://schemas.microsoft.com/office/drawing/2010/main" val="666699" mc:Ignorable="a14" a14:legacySpreadsheetColorIndex="5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38100</xdr:colOff>
      <xdr:row>14</xdr:row>
      <xdr:rowOff>133350</xdr:rowOff>
    </xdr:from>
    <xdr:to>
      <xdr:col>6</xdr:col>
      <xdr:colOff>390525</xdr:colOff>
      <xdr:row>21</xdr:row>
      <xdr:rowOff>19050</xdr:rowOff>
    </xdr:to>
    <xdr:sp macro="" textlink="">
      <xdr:nvSpPr>
        <xdr:cNvPr id="32772" name="Line 4"/>
        <xdr:cNvSpPr>
          <a:spLocks noChangeShapeType="1"/>
        </xdr:cNvSpPr>
      </xdr:nvSpPr>
      <xdr:spPr bwMode="auto">
        <a:xfrm rot="-138348">
          <a:off x="2428875" y="2533650"/>
          <a:ext cx="1571625" cy="11144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600075</xdr:colOff>
      <xdr:row>15</xdr:row>
      <xdr:rowOff>0</xdr:rowOff>
    </xdr:from>
    <xdr:to>
      <xdr:col>5</xdr:col>
      <xdr:colOff>257175</xdr:colOff>
      <xdr:row>26</xdr:row>
      <xdr:rowOff>142875</xdr:rowOff>
    </xdr:to>
    <xdr:sp macro="" textlink="">
      <xdr:nvSpPr>
        <xdr:cNvPr id="32773" name="Line 5"/>
        <xdr:cNvSpPr>
          <a:spLocks noChangeShapeType="1"/>
        </xdr:cNvSpPr>
      </xdr:nvSpPr>
      <xdr:spPr bwMode="auto">
        <a:xfrm rot="94222">
          <a:off x="2381250" y="2571750"/>
          <a:ext cx="876300" cy="209550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523875</xdr:colOff>
      <xdr:row>18</xdr:row>
      <xdr:rowOff>66675</xdr:rowOff>
    </xdr:from>
    <xdr:to>
      <xdr:col>5</xdr:col>
      <xdr:colOff>466725</xdr:colOff>
      <xdr:row>29</xdr:row>
      <xdr:rowOff>57150</xdr:rowOff>
    </xdr:to>
    <xdr:sp macro="" textlink="">
      <xdr:nvSpPr>
        <xdr:cNvPr id="32775" name="Arc 7"/>
        <xdr:cNvSpPr>
          <a:spLocks/>
        </xdr:cNvSpPr>
      </xdr:nvSpPr>
      <xdr:spPr bwMode="auto">
        <a:xfrm rot="7848458">
          <a:off x="2219325" y="3876675"/>
          <a:ext cx="1943100" cy="552450"/>
        </a:xfrm>
        <a:custGeom>
          <a:avLst/>
          <a:gdLst>
            <a:gd name="G0" fmla="+- 11618 0 0"/>
            <a:gd name="G1" fmla="+- 21600 0 0"/>
            <a:gd name="G2" fmla="+- 21600 0 0"/>
            <a:gd name="T0" fmla="*/ 0 w 33005"/>
            <a:gd name="T1" fmla="*/ 3391 h 21600"/>
            <a:gd name="T2" fmla="*/ 33005 w 33005"/>
            <a:gd name="T3" fmla="*/ 18571 h 21600"/>
            <a:gd name="T4" fmla="*/ 11618 w 33005"/>
            <a:gd name="T5" fmla="*/ 21600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</a:cxnLst>
          <a:rect l="0" t="0" r="r" b="b"/>
          <a:pathLst>
            <a:path w="33005" h="21600" fill="none" extrusionOk="0">
              <a:moveTo>
                <a:pt x="-1" y="3390"/>
              </a:moveTo>
              <a:cubicBezTo>
                <a:pt x="3470" y="1176"/>
                <a:pt x="7501" y="-1"/>
                <a:pt x="11618" y="0"/>
              </a:cubicBezTo>
              <a:cubicBezTo>
                <a:pt x="22377" y="0"/>
                <a:pt x="31495" y="7918"/>
                <a:pt x="33004" y="18571"/>
              </a:cubicBezTo>
            </a:path>
            <a:path w="33005" h="21600" stroke="0" extrusionOk="0">
              <a:moveTo>
                <a:pt x="-1" y="3390"/>
              </a:moveTo>
              <a:cubicBezTo>
                <a:pt x="3470" y="1176"/>
                <a:pt x="7501" y="-1"/>
                <a:pt x="11618" y="0"/>
              </a:cubicBezTo>
              <a:cubicBezTo>
                <a:pt x="22377" y="0"/>
                <a:pt x="31495" y="7918"/>
                <a:pt x="33004" y="18571"/>
              </a:cubicBezTo>
              <a:lnTo>
                <a:pt x="11618" y="21600"/>
              </a:lnTo>
              <a:close/>
            </a:path>
          </a:pathLst>
        </a:cu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</xdr:sp>
    <xdr:clientData/>
  </xdr:twoCellAnchor>
  <xdr:twoCellAnchor>
    <xdr:from>
      <xdr:col>3</xdr:col>
      <xdr:colOff>495300</xdr:colOff>
      <xdr:row>20</xdr:row>
      <xdr:rowOff>133350</xdr:rowOff>
    </xdr:from>
    <xdr:to>
      <xdr:col>3</xdr:col>
      <xdr:colOff>495300</xdr:colOff>
      <xdr:row>21</xdr:row>
      <xdr:rowOff>66675</xdr:rowOff>
    </xdr:to>
    <xdr:sp macro="" textlink="">
      <xdr:nvSpPr>
        <xdr:cNvPr id="32780" name="Line 12"/>
        <xdr:cNvSpPr>
          <a:spLocks noChangeShapeType="1"/>
        </xdr:cNvSpPr>
      </xdr:nvSpPr>
      <xdr:spPr bwMode="auto">
        <a:xfrm>
          <a:off x="2276475" y="3590925"/>
          <a:ext cx="0" cy="10477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161925</xdr:colOff>
      <xdr:row>20</xdr:row>
      <xdr:rowOff>133350</xdr:rowOff>
    </xdr:from>
    <xdr:to>
      <xdr:col>4</xdr:col>
      <xdr:colOff>161925</xdr:colOff>
      <xdr:row>21</xdr:row>
      <xdr:rowOff>66675</xdr:rowOff>
    </xdr:to>
    <xdr:sp macro="" textlink="">
      <xdr:nvSpPr>
        <xdr:cNvPr id="32781" name="Line 13"/>
        <xdr:cNvSpPr>
          <a:spLocks noChangeShapeType="1"/>
        </xdr:cNvSpPr>
      </xdr:nvSpPr>
      <xdr:spPr bwMode="auto">
        <a:xfrm>
          <a:off x="2552700" y="3590925"/>
          <a:ext cx="0" cy="10477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495300</xdr:colOff>
      <xdr:row>21</xdr:row>
      <xdr:rowOff>19050</xdr:rowOff>
    </xdr:from>
    <xdr:to>
      <xdr:col>4</xdr:col>
      <xdr:colOff>161925</xdr:colOff>
      <xdr:row>21</xdr:row>
      <xdr:rowOff>19050</xdr:rowOff>
    </xdr:to>
    <xdr:sp macro="" textlink="">
      <xdr:nvSpPr>
        <xdr:cNvPr id="32782" name="Line 14"/>
        <xdr:cNvSpPr>
          <a:spLocks noChangeShapeType="1"/>
        </xdr:cNvSpPr>
      </xdr:nvSpPr>
      <xdr:spPr bwMode="auto">
        <a:xfrm>
          <a:off x="2276475" y="3648075"/>
          <a:ext cx="27622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581025</xdr:colOff>
      <xdr:row>24</xdr:row>
      <xdr:rowOff>19050</xdr:rowOff>
    </xdr:from>
    <xdr:to>
      <xdr:col>6</xdr:col>
      <xdr:colOff>295275</xdr:colOff>
      <xdr:row>25</xdr:row>
      <xdr:rowOff>123825</xdr:rowOff>
    </xdr:to>
    <xdr:sp macro="" textlink="">
      <xdr:nvSpPr>
        <xdr:cNvPr id="32783" name="Oval 15"/>
        <xdr:cNvSpPr>
          <a:spLocks noChangeArrowheads="1"/>
        </xdr:cNvSpPr>
      </xdr:nvSpPr>
      <xdr:spPr bwMode="auto">
        <a:xfrm>
          <a:off x="3581400" y="4181475"/>
          <a:ext cx="323850" cy="28575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905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round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 1</a:t>
          </a:r>
        </a:p>
      </xdr:txBody>
    </xdr:sp>
    <xdr:clientData/>
  </xdr:twoCellAnchor>
  <xdr:twoCellAnchor>
    <xdr:from>
      <xdr:col>4</xdr:col>
      <xdr:colOff>28575</xdr:colOff>
      <xdr:row>5</xdr:row>
      <xdr:rowOff>19050</xdr:rowOff>
    </xdr:from>
    <xdr:to>
      <xdr:col>6</xdr:col>
      <xdr:colOff>38100</xdr:colOff>
      <xdr:row>15</xdr:row>
      <xdr:rowOff>0</xdr:rowOff>
    </xdr:to>
    <xdr:sp macro="" textlink="">
      <xdr:nvSpPr>
        <xdr:cNvPr id="32785" name="Line 17"/>
        <xdr:cNvSpPr>
          <a:spLocks noChangeShapeType="1"/>
        </xdr:cNvSpPr>
      </xdr:nvSpPr>
      <xdr:spPr bwMode="auto">
        <a:xfrm flipV="1">
          <a:off x="2419350" y="904875"/>
          <a:ext cx="1228725" cy="166687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19050</xdr:colOff>
      <xdr:row>3</xdr:row>
      <xdr:rowOff>152400</xdr:rowOff>
    </xdr:from>
    <xdr:to>
      <xdr:col>5</xdr:col>
      <xdr:colOff>228600</xdr:colOff>
      <xdr:row>15</xdr:row>
      <xdr:rowOff>0</xdr:rowOff>
    </xdr:to>
    <xdr:sp macro="" textlink="">
      <xdr:nvSpPr>
        <xdr:cNvPr id="32786" name="Line 18"/>
        <xdr:cNvSpPr>
          <a:spLocks noChangeShapeType="1"/>
        </xdr:cNvSpPr>
      </xdr:nvSpPr>
      <xdr:spPr bwMode="auto">
        <a:xfrm flipV="1">
          <a:off x="2409825" y="714375"/>
          <a:ext cx="819150" cy="18573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161925</xdr:colOff>
      <xdr:row>4</xdr:row>
      <xdr:rowOff>104775</xdr:rowOff>
    </xdr:from>
    <xdr:to>
      <xdr:col>5</xdr:col>
      <xdr:colOff>600075</xdr:colOff>
      <xdr:row>5</xdr:row>
      <xdr:rowOff>95250</xdr:rowOff>
    </xdr:to>
    <xdr:sp macro="" textlink="">
      <xdr:nvSpPr>
        <xdr:cNvPr id="32787" name="AutoShape 19"/>
        <xdr:cNvSpPr>
          <a:spLocks noChangeArrowheads="1"/>
        </xdr:cNvSpPr>
      </xdr:nvSpPr>
      <xdr:spPr bwMode="auto">
        <a:xfrm rot="1650032">
          <a:off x="3162300" y="828675"/>
          <a:ext cx="438150" cy="152400"/>
        </a:xfrm>
        <a:custGeom>
          <a:avLst/>
          <a:gdLst>
            <a:gd name="G0" fmla="+- 10800 0 0"/>
            <a:gd name="G1" fmla="+- -11744475 0 0"/>
            <a:gd name="G2" fmla="+- 0 0 -11744475"/>
            <a:gd name="T0" fmla="*/ 0 256 1"/>
            <a:gd name="T1" fmla="*/ 180 256 1"/>
            <a:gd name="G3" fmla="+- -11744475 T0 T1"/>
            <a:gd name="T2" fmla="*/ 0 256 1"/>
            <a:gd name="T3" fmla="*/ 90 256 1"/>
            <a:gd name="G4" fmla="+- -11744475 T2 T3"/>
            <a:gd name="G5" fmla="*/ G4 2 1"/>
            <a:gd name="T4" fmla="*/ 90 256 1"/>
            <a:gd name="T5" fmla="*/ 0 256 1"/>
            <a:gd name="G6" fmla="+- -11744475 T4 T5"/>
            <a:gd name="G7" fmla="*/ G6 2 1"/>
            <a:gd name="G8" fmla="abs -11744475"/>
            <a:gd name="T6" fmla="*/ 0 256 1"/>
            <a:gd name="T7" fmla="*/ 90 256 1"/>
            <a:gd name="G9" fmla="+- G8 T6 T7"/>
            <a:gd name="G10" fmla="?: G9 G7 G5"/>
            <a:gd name="T8" fmla="*/ 0 256 1"/>
            <a:gd name="T9" fmla="*/ 360 256 1"/>
            <a:gd name="G11" fmla="+- G10 T8 T9"/>
            <a:gd name="G12" fmla="?: G10 G11 G10"/>
            <a:gd name="T10" fmla="*/ 0 256 1"/>
            <a:gd name="T11" fmla="*/ 360 256 1"/>
            <a:gd name="G13" fmla="+- G12 T10 T11"/>
            <a:gd name="G14" fmla="?: G12 G13 G12"/>
            <a:gd name="G15" fmla="+- 0 0 G14"/>
            <a:gd name="G16" fmla="+- 10800 0 0"/>
            <a:gd name="G17" fmla="+- 10800 0 10800"/>
            <a:gd name="G18" fmla="*/ 10800 1 2"/>
            <a:gd name="G19" fmla="+- G18 5400 0"/>
            <a:gd name="G20" fmla="cos G19 -11744475"/>
            <a:gd name="G21" fmla="sin G19 -11744475"/>
            <a:gd name="G22" fmla="+- G20 10800 0"/>
            <a:gd name="G23" fmla="+- G21 10800 0"/>
            <a:gd name="G24" fmla="+- 10800 0 G20"/>
            <a:gd name="G25" fmla="+- 10800 10800 0"/>
            <a:gd name="G26" fmla="?: G9 G17 G25"/>
            <a:gd name="G27" fmla="?: G9 0 21600"/>
            <a:gd name="G28" fmla="cos 10800 -11744475"/>
            <a:gd name="G29" fmla="sin 10800 -11744475"/>
            <a:gd name="G30" fmla="sin 10800 -11744475"/>
            <a:gd name="G31" fmla="+- G28 10800 0"/>
            <a:gd name="G32" fmla="+- G29 10800 0"/>
            <a:gd name="G33" fmla="+- G30 10800 0"/>
            <a:gd name="G34" fmla="?: G4 0 G31"/>
            <a:gd name="G35" fmla="?: -11744475 G34 0"/>
            <a:gd name="G36" fmla="?: G6 G35 G31"/>
            <a:gd name="G37" fmla="+- 21600 0 G36"/>
            <a:gd name="G38" fmla="?: G4 0 G33"/>
            <a:gd name="G39" fmla="?: -11744475 G38 G32"/>
            <a:gd name="G40" fmla="?: G6 G39 0"/>
            <a:gd name="G41" fmla="?: G4 G32 21600"/>
            <a:gd name="G42" fmla="?: G6 G41 G33"/>
            <a:gd name="T12" fmla="*/ 10800 w 21600"/>
            <a:gd name="T13" fmla="*/ 0 h 21600"/>
            <a:gd name="T14" fmla="*/ 1 w 21600"/>
            <a:gd name="T15" fmla="*/ 10650 h 21600"/>
            <a:gd name="T16" fmla="*/ 10800 w 21600"/>
            <a:gd name="T17" fmla="*/ 0 h 21600"/>
            <a:gd name="T18" fmla="*/ 21599 w 21600"/>
            <a:gd name="T19" fmla="*/ 10650 h 21600"/>
            <a:gd name="T20" fmla="*/ G36 w 21600"/>
            <a:gd name="T21" fmla="*/ G40 h 21600"/>
            <a:gd name="T22" fmla="*/ G37 w 21600"/>
            <a:gd name="T23" fmla="*/ G42 h 21600"/>
          </a:gdLst>
          <a:ahLst/>
          <a:cxnLst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</a:cxnLst>
          <a:rect l="T20" t="T21" r="T22" b="T23"/>
          <a:pathLst>
            <a:path w="21600" h="21600">
              <a:moveTo>
                <a:pt x="1" y="10650"/>
              </a:moveTo>
              <a:cubicBezTo>
                <a:pt x="82" y="4744"/>
                <a:pt x="4893" y="-1"/>
                <a:pt x="10800" y="0"/>
              </a:cubicBezTo>
              <a:cubicBezTo>
                <a:pt x="16706" y="0"/>
                <a:pt x="21517" y="4744"/>
                <a:pt x="21598" y="10650"/>
              </a:cubicBezTo>
              <a:cubicBezTo>
                <a:pt x="21517" y="4744"/>
                <a:pt x="16706" y="-1"/>
                <a:pt x="10799" y="0"/>
              </a:cubicBezTo>
              <a:cubicBezTo>
                <a:pt x="4893" y="0"/>
                <a:pt x="82" y="4744"/>
                <a:pt x="1" y="10650"/>
              </a:cubicBezTo>
              <a:close/>
            </a:path>
          </a:pathLst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495300</xdr:colOff>
      <xdr:row>4</xdr:row>
      <xdr:rowOff>142875</xdr:rowOff>
    </xdr:from>
    <xdr:to>
      <xdr:col>5</xdr:col>
      <xdr:colOff>581025</xdr:colOff>
      <xdr:row>5</xdr:row>
      <xdr:rowOff>114300</xdr:rowOff>
    </xdr:to>
    <xdr:sp macro="" textlink="">
      <xdr:nvSpPr>
        <xdr:cNvPr id="32789" name="Line 21"/>
        <xdr:cNvSpPr>
          <a:spLocks noChangeShapeType="1"/>
        </xdr:cNvSpPr>
      </xdr:nvSpPr>
      <xdr:spPr bwMode="auto">
        <a:xfrm flipH="1" flipV="1">
          <a:off x="3495675" y="866775"/>
          <a:ext cx="85725" cy="1333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4</xdr:row>
      <xdr:rowOff>47625</xdr:rowOff>
    </xdr:from>
    <xdr:to>
      <xdr:col>5</xdr:col>
      <xdr:colOff>333375</xdr:colOff>
      <xdr:row>4</xdr:row>
      <xdr:rowOff>57150</xdr:rowOff>
    </xdr:to>
    <xdr:sp macro="" textlink="">
      <xdr:nvSpPr>
        <xdr:cNvPr id="32790" name="Line 22"/>
        <xdr:cNvSpPr>
          <a:spLocks noChangeShapeType="1"/>
        </xdr:cNvSpPr>
      </xdr:nvSpPr>
      <xdr:spPr bwMode="auto">
        <a:xfrm>
          <a:off x="3200400" y="771525"/>
          <a:ext cx="133350" cy="9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352425</xdr:colOff>
      <xdr:row>3</xdr:row>
      <xdr:rowOff>28575</xdr:rowOff>
    </xdr:from>
    <xdr:to>
      <xdr:col>6</xdr:col>
      <xdr:colOff>66675</xdr:colOff>
      <xdr:row>4</xdr:row>
      <xdr:rowOff>133350</xdr:rowOff>
    </xdr:to>
    <xdr:sp macro="" textlink="">
      <xdr:nvSpPr>
        <xdr:cNvPr id="32791" name="Oval 23"/>
        <xdr:cNvSpPr>
          <a:spLocks noChangeArrowheads="1"/>
        </xdr:cNvSpPr>
      </xdr:nvSpPr>
      <xdr:spPr bwMode="auto">
        <a:xfrm>
          <a:off x="3352800" y="590550"/>
          <a:ext cx="323850" cy="2667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905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round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</a:p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</a:p>
      </xdr:txBody>
    </xdr:sp>
    <xdr:clientData/>
  </xdr:twoCellAnchor>
  <xdr:twoCellAnchor>
    <xdr:from>
      <xdr:col>7</xdr:col>
      <xdr:colOff>219075</xdr:colOff>
      <xdr:row>4</xdr:row>
      <xdr:rowOff>114300</xdr:rowOff>
    </xdr:from>
    <xdr:to>
      <xdr:col>7</xdr:col>
      <xdr:colOff>542925</xdr:colOff>
      <xdr:row>6</xdr:row>
      <xdr:rowOff>57150</xdr:rowOff>
    </xdr:to>
    <xdr:sp macro="" textlink="">
      <xdr:nvSpPr>
        <xdr:cNvPr id="32792" name="Oval 24"/>
        <xdr:cNvSpPr>
          <a:spLocks noChangeArrowheads="1"/>
        </xdr:cNvSpPr>
      </xdr:nvSpPr>
      <xdr:spPr bwMode="auto">
        <a:xfrm>
          <a:off x="4438650" y="838200"/>
          <a:ext cx="323850" cy="2667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905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round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 1</a:t>
          </a:r>
        </a:p>
      </xdr:txBody>
    </xdr:sp>
    <xdr:clientData/>
  </xdr:twoCellAnchor>
  <xdr:twoCellAnchor>
    <xdr:from>
      <xdr:col>7</xdr:col>
      <xdr:colOff>228600</xdr:colOff>
      <xdr:row>6</xdr:row>
      <xdr:rowOff>123825</xdr:rowOff>
    </xdr:from>
    <xdr:to>
      <xdr:col>7</xdr:col>
      <xdr:colOff>552450</xdr:colOff>
      <xdr:row>8</xdr:row>
      <xdr:rowOff>66675</xdr:rowOff>
    </xdr:to>
    <xdr:sp macro="" textlink="">
      <xdr:nvSpPr>
        <xdr:cNvPr id="32793" name="Oval 25"/>
        <xdr:cNvSpPr>
          <a:spLocks noChangeArrowheads="1"/>
        </xdr:cNvSpPr>
      </xdr:nvSpPr>
      <xdr:spPr bwMode="auto">
        <a:xfrm>
          <a:off x="4448175" y="1171575"/>
          <a:ext cx="323850" cy="27622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905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round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</a:p>
      </xdr:txBody>
    </xdr:sp>
    <xdr:clientData/>
  </xdr:twoCellAnchor>
  <xdr:twoCellAnchor>
    <xdr:from>
      <xdr:col>7</xdr:col>
      <xdr:colOff>238125</xdr:colOff>
      <xdr:row>8</xdr:row>
      <xdr:rowOff>123825</xdr:rowOff>
    </xdr:from>
    <xdr:to>
      <xdr:col>7</xdr:col>
      <xdr:colOff>561975</xdr:colOff>
      <xdr:row>10</xdr:row>
      <xdr:rowOff>66675</xdr:rowOff>
    </xdr:to>
    <xdr:sp macro="" textlink="">
      <xdr:nvSpPr>
        <xdr:cNvPr id="32794" name="Oval 26"/>
        <xdr:cNvSpPr>
          <a:spLocks noChangeArrowheads="1"/>
        </xdr:cNvSpPr>
      </xdr:nvSpPr>
      <xdr:spPr bwMode="auto">
        <a:xfrm>
          <a:off x="4457700" y="1504950"/>
          <a:ext cx="323850" cy="3048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905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round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 3</a:t>
          </a:r>
        </a:p>
      </xdr:txBody>
    </xdr:sp>
    <xdr:clientData/>
  </xdr:twoCellAnchor>
  <xdr:twoCellAnchor>
    <xdr:from>
      <xdr:col>4</xdr:col>
      <xdr:colOff>28575</xdr:colOff>
      <xdr:row>15</xdr:row>
      <xdr:rowOff>19050</xdr:rowOff>
    </xdr:from>
    <xdr:to>
      <xdr:col>4</xdr:col>
      <xdr:colOff>447675</xdr:colOff>
      <xdr:row>28</xdr:row>
      <xdr:rowOff>0</xdr:rowOff>
    </xdr:to>
    <xdr:sp macro="" textlink="">
      <xdr:nvSpPr>
        <xdr:cNvPr id="32795" name="Line 27"/>
        <xdr:cNvSpPr>
          <a:spLocks noChangeShapeType="1"/>
        </xdr:cNvSpPr>
      </xdr:nvSpPr>
      <xdr:spPr bwMode="auto">
        <a:xfrm>
          <a:off x="2419350" y="2590800"/>
          <a:ext cx="419100" cy="2295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9525</xdr:colOff>
      <xdr:row>15</xdr:row>
      <xdr:rowOff>9525</xdr:rowOff>
    </xdr:from>
    <xdr:to>
      <xdr:col>4</xdr:col>
      <xdr:colOff>19050</xdr:colOff>
      <xdr:row>27</xdr:row>
      <xdr:rowOff>123825</xdr:rowOff>
    </xdr:to>
    <xdr:sp macro="" textlink="">
      <xdr:nvSpPr>
        <xdr:cNvPr id="32796" name="Line 28"/>
        <xdr:cNvSpPr>
          <a:spLocks noChangeShapeType="1"/>
        </xdr:cNvSpPr>
      </xdr:nvSpPr>
      <xdr:spPr bwMode="auto">
        <a:xfrm flipH="1">
          <a:off x="2400300" y="2581275"/>
          <a:ext cx="9525" cy="22479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lgDash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9525</xdr:colOff>
      <xdr:row>27</xdr:row>
      <xdr:rowOff>47625</xdr:rowOff>
    </xdr:from>
    <xdr:to>
      <xdr:col>4</xdr:col>
      <xdr:colOff>123825</xdr:colOff>
      <xdr:row>27</xdr:row>
      <xdr:rowOff>66675</xdr:rowOff>
    </xdr:to>
    <xdr:sp macro="" textlink="">
      <xdr:nvSpPr>
        <xdr:cNvPr id="32797" name="Line 29"/>
        <xdr:cNvSpPr>
          <a:spLocks noChangeShapeType="1"/>
        </xdr:cNvSpPr>
      </xdr:nvSpPr>
      <xdr:spPr bwMode="auto">
        <a:xfrm>
          <a:off x="2400300" y="4752975"/>
          <a:ext cx="114300" cy="190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285750</xdr:colOff>
      <xdr:row>27</xdr:row>
      <xdr:rowOff>9525</xdr:rowOff>
    </xdr:from>
    <xdr:to>
      <xdr:col>4</xdr:col>
      <xdr:colOff>409575</xdr:colOff>
      <xdr:row>27</xdr:row>
      <xdr:rowOff>57150</xdr:rowOff>
    </xdr:to>
    <xdr:sp macro="" textlink="">
      <xdr:nvSpPr>
        <xdr:cNvPr id="32798" name="Line 30"/>
        <xdr:cNvSpPr>
          <a:spLocks noChangeShapeType="1"/>
        </xdr:cNvSpPr>
      </xdr:nvSpPr>
      <xdr:spPr bwMode="auto">
        <a:xfrm flipH="1">
          <a:off x="2676525" y="4714875"/>
          <a:ext cx="123825" cy="476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428625</xdr:colOff>
      <xdr:row>26</xdr:row>
      <xdr:rowOff>95250</xdr:rowOff>
    </xdr:from>
    <xdr:to>
      <xdr:col>4</xdr:col>
      <xdr:colOff>600075</xdr:colOff>
      <xdr:row>27</xdr:row>
      <xdr:rowOff>9525</xdr:rowOff>
    </xdr:to>
    <xdr:sp macro="" textlink="">
      <xdr:nvSpPr>
        <xdr:cNvPr id="32799" name="Line 31"/>
        <xdr:cNvSpPr>
          <a:spLocks noChangeShapeType="1"/>
        </xdr:cNvSpPr>
      </xdr:nvSpPr>
      <xdr:spPr bwMode="auto">
        <a:xfrm flipV="1">
          <a:off x="2819400" y="4619625"/>
          <a:ext cx="171450" cy="95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47625</xdr:colOff>
      <xdr:row>26</xdr:row>
      <xdr:rowOff>0</xdr:rowOff>
    </xdr:from>
    <xdr:to>
      <xdr:col>5</xdr:col>
      <xdr:colOff>161925</xdr:colOff>
      <xdr:row>26</xdr:row>
      <xdr:rowOff>66675</xdr:rowOff>
    </xdr:to>
    <xdr:sp macro="" textlink="">
      <xdr:nvSpPr>
        <xdr:cNvPr id="32800" name="Line 32"/>
        <xdr:cNvSpPr>
          <a:spLocks noChangeShapeType="1"/>
        </xdr:cNvSpPr>
      </xdr:nvSpPr>
      <xdr:spPr bwMode="auto">
        <a:xfrm flipH="1">
          <a:off x="3048000" y="4524375"/>
          <a:ext cx="114300" cy="666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276225</xdr:colOff>
      <xdr:row>20</xdr:row>
      <xdr:rowOff>114300</xdr:rowOff>
    </xdr:from>
    <xdr:to>
      <xdr:col>6</xdr:col>
      <xdr:colOff>333375</xdr:colOff>
      <xdr:row>21</xdr:row>
      <xdr:rowOff>76200</xdr:rowOff>
    </xdr:to>
    <xdr:sp macro="" textlink="">
      <xdr:nvSpPr>
        <xdr:cNvPr id="32801" name="Line 33"/>
        <xdr:cNvSpPr>
          <a:spLocks noChangeShapeType="1"/>
        </xdr:cNvSpPr>
      </xdr:nvSpPr>
      <xdr:spPr bwMode="auto">
        <a:xfrm flipH="1">
          <a:off x="3886200" y="3571875"/>
          <a:ext cx="57150" cy="1333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190500</xdr:colOff>
      <xdr:row>25</xdr:row>
      <xdr:rowOff>66675</xdr:rowOff>
    </xdr:from>
    <xdr:to>
      <xdr:col>5</xdr:col>
      <xdr:colOff>285750</xdr:colOff>
      <xdr:row>25</xdr:row>
      <xdr:rowOff>161925</xdr:rowOff>
    </xdr:to>
    <xdr:sp macro="" textlink="">
      <xdr:nvSpPr>
        <xdr:cNvPr id="32802" name="Line 34"/>
        <xdr:cNvSpPr>
          <a:spLocks noChangeShapeType="1"/>
        </xdr:cNvSpPr>
      </xdr:nvSpPr>
      <xdr:spPr bwMode="auto">
        <a:xfrm flipV="1">
          <a:off x="3190875" y="4410075"/>
          <a:ext cx="95250" cy="95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552450</xdr:colOff>
      <xdr:row>27</xdr:row>
      <xdr:rowOff>28575</xdr:rowOff>
    </xdr:from>
    <xdr:to>
      <xdr:col>5</xdr:col>
      <xdr:colOff>266700</xdr:colOff>
      <xdr:row>28</xdr:row>
      <xdr:rowOff>133350</xdr:rowOff>
    </xdr:to>
    <xdr:sp macro="" textlink="">
      <xdr:nvSpPr>
        <xdr:cNvPr id="32803" name="Oval 35"/>
        <xdr:cNvSpPr>
          <a:spLocks noChangeArrowheads="1"/>
        </xdr:cNvSpPr>
      </xdr:nvSpPr>
      <xdr:spPr bwMode="auto">
        <a:xfrm>
          <a:off x="2943225" y="4733925"/>
          <a:ext cx="323850" cy="28575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905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round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</a:p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</a:p>
      </xdr:txBody>
    </xdr:sp>
    <xdr:clientData/>
  </xdr:twoCellAnchor>
  <xdr:twoCellAnchor>
    <xdr:from>
      <xdr:col>4</xdr:col>
      <xdr:colOff>66675</xdr:colOff>
      <xdr:row>27</xdr:row>
      <xdr:rowOff>114300</xdr:rowOff>
    </xdr:from>
    <xdr:to>
      <xdr:col>4</xdr:col>
      <xdr:colOff>390525</xdr:colOff>
      <xdr:row>29</xdr:row>
      <xdr:rowOff>57150</xdr:rowOff>
    </xdr:to>
    <xdr:sp macro="" textlink="">
      <xdr:nvSpPr>
        <xdr:cNvPr id="32804" name="Oval 36"/>
        <xdr:cNvSpPr>
          <a:spLocks noChangeArrowheads="1"/>
        </xdr:cNvSpPr>
      </xdr:nvSpPr>
      <xdr:spPr bwMode="auto">
        <a:xfrm>
          <a:off x="2457450" y="4819650"/>
          <a:ext cx="323850" cy="3048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905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round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 3</a:t>
          </a:r>
        </a:p>
        <a:p>
          <a:pPr algn="l" rtl="0">
            <a:defRPr sz="1000"/>
          </a:pPr>
          <a:endParaRPr lang="en-US" sz="10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57150</xdr:colOff>
      <xdr:row>11</xdr:row>
      <xdr:rowOff>57150</xdr:rowOff>
    </xdr:from>
    <xdr:to>
      <xdr:col>4</xdr:col>
      <xdr:colOff>28575</xdr:colOff>
      <xdr:row>15</xdr:row>
      <xdr:rowOff>9525</xdr:rowOff>
    </xdr:to>
    <xdr:sp macro="" textlink="">
      <xdr:nvSpPr>
        <xdr:cNvPr id="32805" name="Line 37"/>
        <xdr:cNvSpPr>
          <a:spLocks noChangeShapeType="1"/>
        </xdr:cNvSpPr>
      </xdr:nvSpPr>
      <xdr:spPr bwMode="auto">
        <a:xfrm flipH="1" flipV="1">
          <a:off x="1838325" y="1971675"/>
          <a:ext cx="581025" cy="60960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152400</xdr:colOff>
      <xdr:row>5</xdr:row>
      <xdr:rowOff>57150</xdr:rowOff>
    </xdr:from>
    <xdr:to>
      <xdr:col>1</xdr:col>
      <xdr:colOff>476250</xdr:colOff>
      <xdr:row>7</xdr:row>
      <xdr:rowOff>0</xdr:rowOff>
    </xdr:to>
    <xdr:sp macro="" textlink="">
      <xdr:nvSpPr>
        <xdr:cNvPr id="32807" name="Oval 39"/>
        <xdr:cNvSpPr>
          <a:spLocks noChangeArrowheads="1"/>
        </xdr:cNvSpPr>
      </xdr:nvSpPr>
      <xdr:spPr bwMode="auto">
        <a:xfrm>
          <a:off x="714375" y="942975"/>
          <a:ext cx="323850" cy="2667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905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round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 4</a:t>
          </a:r>
        </a:p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</a:p>
      </xdr:txBody>
    </xdr:sp>
    <xdr:clientData/>
  </xdr:twoCellAnchor>
  <xdr:twoCellAnchor>
    <xdr:from>
      <xdr:col>7</xdr:col>
      <xdr:colOff>247650</xdr:colOff>
      <xdr:row>10</xdr:row>
      <xdr:rowOff>114300</xdr:rowOff>
    </xdr:from>
    <xdr:to>
      <xdr:col>7</xdr:col>
      <xdr:colOff>571500</xdr:colOff>
      <xdr:row>12</xdr:row>
      <xdr:rowOff>57150</xdr:rowOff>
    </xdr:to>
    <xdr:sp macro="" textlink="">
      <xdr:nvSpPr>
        <xdr:cNvPr id="32808" name="Oval 40"/>
        <xdr:cNvSpPr>
          <a:spLocks noChangeArrowheads="1"/>
        </xdr:cNvSpPr>
      </xdr:nvSpPr>
      <xdr:spPr bwMode="auto">
        <a:xfrm>
          <a:off x="4467225" y="1857375"/>
          <a:ext cx="323850" cy="27622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905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round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 4</a:t>
          </a:r>
        </a:p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</a:p>
      </xdr:txBody>
    </xdr:sp>
    <xdr:clientData/>
  </xdr:twoCellAnchor>
  <xdr:twoCellAnchor>
    <xdr:from>
      <xdr:col>5</xdr:col>
      <xdr:colOff>47625</xdr:colOff>
      <xdr:row>15</xdr:row>
      <xdr:rowOff>19050</xdr:rowOff>
    </xdr:from>
    <xdr:to>
      <xdr:col>5</xdr:col>
      <xdr:colOff>238125</xdr:colOff>
      <xdr:row>15</xdr:row>
      <xdr:rowOff>19050</xdr:rowOff>
    </xdr:to>
    <xdr:sp macro="" textlink="">
      <xdr:nvSpPr>
        <xdr:cNvPr id="32810" name="Line 42"/>
        <xdr:cNvSpPr>
          <a:spLocks noChangeShapeType="1"/>
        </xdr:cNvSpPr>
      </xdr:nvSpPr>
      <xdr:spPr bwMode="auto">
        <a:xfrm flipH="1">
          <a:off x="3048000" y="2590800"/>
          <a:ext cx="1905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400050</xdr:colOff>
      <xdr:row>15</xdr:row>
      <xdr:rowOff>9525</xdr:rowOff>
    </xdr:from>
    <xdr:to>
      <xdr:col>6</xdr:col>
      <xdr:colOff>304800</xdr:colOff>
      <xdr:row>15</xdr:row>
      <xdr:rowOff>9525</xdr:rowOff>
    </xdr:to>
    <xdr:sp macro="" textlink="">
      <xdr:nvSpPr>
        <xdr:cNvPr id="32811" name="Line 43"/>
        <xdr:cNvSpPr>
          <a:spLocks noChangeShapeType="1"/>
        </xdr:cNvSpPr>
      </xdr:nvSpPr>
      <xdr:spPr bwMode="auto">
        <a:xfrm>
          <a:off x="3400425" y="2581275"/>
          <a:ext cx="5143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228600</xdr:colOff>
      <xdr:row>15</xdr:row>
      <xdr:rowOff>19050</xdr:rowOff>
    </xdr:from>
    <xdr:to>
      <xdr:col>5</xdr:col>
      <xdr:colOff>400050</xdr:colOff>
      <xdr:row>15</xdr:row>
      <xdr:rowOff>19050</xdr:rowOff>
    </xdr:to>
    <xdr:sp macro="" textlink="">
      <xdr:nvSpPr>
        <xdr:cNvPr id="32812" name="Line 44"/>
        <xdr:cNvSpPr>
          <a:spLocks noChangeShapeType="1"/>
        </xdr:cNvSpPr>
      </xdr:nvSpPr>
      <xdr:spPr bwMode="auto">
        <a:xfrm>
          <a:off x="3228975" y="2590800"/>
          <a:ext cx="1714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485775</xdr:colOff>
      <xdr:row>13</xdr:row>
      <xdr:rowOff>38100</xdr:rowOff>
    </xdr:from>
    <xdr:to>
      <xdr:col>6</xdr:col>
      <xdr:colOff>200025</xdr:colOff>
      <xdr:row>14</xdr:row>
      <xdr:rowOff>142875</xdr:rowOff>
    </xdr:to>
    <xdr:sp macro="" textlink="">
      <xdr:nvSpPr>
        <xdr:cNvPr id="32818" name="Oval 50"/>
        <xdr:cNvSpPr>
          <a:spLocks noChangeArrowheads="1"/>
        </xdr:cNvSpPr>
      </xdr:nvSpPr>
      <xdr:spPr bwMode="auto">
        <a:xfrm>
          <a:off x="3486150" y="2276475"/>
          <a:ext cx="323850" cy="2667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905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round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 5</a:t>
          </a:r>
        </a:p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</a:p>
      </xdr:txBody>
    </xdr:sp>
    <xdr:clientData/>
  </xdr:twoCellAnchor>
  <xdr:twoCellAnchor>
    <xdr:from>
      <xdr:col>7</xdr:col>
      <xdr:colOff>247650</xdr:colOff>
      <xdr:row>12</xdr:row>
      <xdr:rowOff>123825</xdr:rowOff>
    </xdr:from>
    <xdr:to>
      <xdr:col>7</xdr:col>
      <xdr:colOff>571500</xdr:colOff>
      <xdr:row>14</xdr:row>
      <xdr:rowOff>66675</xdr:rowOff>
    </xdr:to>
    <xdr:sp macro="" textlink="">
      <xdr:nvSpPr>
        <xdr:cNvPr id="32819" name="Oval 51"/>
        <xdr:cNvSpPr>
          <a:spLocks noChangeArrowheads="1"/>
        </xdr:cNvSpPr>
      </xdr:nvSpPr>
      <xdr:spPr bwMode="auto">
        <a:xfrm>
          <a:off x="4467225" y="2200275"/>
          <a:ext cx="323850" cy="2667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905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round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 6</a:t>
          </a:r>
        </a:p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</a:p>
      </xdr:txBody>
    </xdr:sp>
    <xdr:clientData/>
  </xdr:twoCellAnchor>
  <xdr:twoCellAnchor>
    <xdr:from>
      <xdr:col>6</xdr:col>
      <xdr:colOff>114300</xdr:colOff>
      <xdr:row>22</xdr:row>
      <xdr:rowOff>152400</xdr:rowOff>
    </xdr:from>
    <xdr:to>
      <xdr:col>6</xdr:col>
      <xdr:colOff>600075</xdr:colOff>
      <xdr:row>24</xdr:row>
      <xdr:rowOff>85725</xdr:rowOff>
    </xdr:to>
    <xdr:sp macro="" textlink="">
      <xdr:nvSpPr>
        <xdr:cNvPr id="32820" name="Line 52"/>
        <xdr:cNvSpPr>
          <a:spLocks noChangeShapeType="1"/>
        </xdr:cNvSpPr>
      </xdr:nvSpPr>
      <xdr:spPr bwMode="auto">
        <a:xfrm>
          <a:off x="3724275" y="3952875"/>
          <a:ext cx="485775" cy="29527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oval" w="med" len="med"/>
          <a:tailEnd type="oval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38100</xdr:colOff>
      <xdr:row>14</xdr:row>
      <xdr:rowOff>152400</xdr:rowOff>
    </xdr:from>
    <xdr:to>
      <xdr:col>7</xdr:col>
      <xdr:colOff>9525</xdr:colOff>
      <xdr:row>17</xdr:row>
      <xdr:rowOff>66675</xdr:rowOff>
    </xdr:to>
    <xdr:cxnSp macro="">
      <xdr:nvCxnSpPr>
        <xdr:cNvPr id="32821" name="AutoShape 53"/>
        <xdr:cNvCxnSpPr>
          <a:cxnSpLocks noChangeShapeType="1"/>
          <a:stCxn id="32818" idx="4"/>
        </xdr:cNvCxnSpPr>
      </xdr:nvCxnSpPr>
      <xdr:spPr bwMode="auto">
        <a:xfrm rot="16200000" flipH="1">
          <a:off x="3714750" y="2486025"/>
          <a:ext cx="447675" cy="581025"/>
        </a:xfrm>
        <a:prstGeom prst="bentConnector2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8080" mc:Ignorable="a14" a14:legacySpreadsheetColorIndex="21"/>
          </a:solidFill>
          <a:prstDash val="sysDot"/>
          <a:miter lim="800000"/>
          <a:headEnd type="oval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</xdr:col>
      <xdr:colOff>200025</xdr:colOff>
      <xdr:row>9</xdr:row>
      <xdr:rowOff>0</xdr:rowOff>
    </xdr:from>
    <xdr:to>
      <xdr:col>3</xdr:col>
      <xdr:colOff>57150</xdr:colOff>
      <xdr:row>11</xdr:row>
      <xdr:rowOff>66675</xdr:rowOff>
    </xdr:to>
    <xdr:sp macro="" textlink="">
      <xdr:nvSpPr>
        <xdr:cNvPr id="32822" name="Line 54"/>
        <xdr:cNvSpPr>
          <a:spLocks noChangeShapeType="1"/>
        </xdr:cNvSpPr>
      </xdr:nvSpPr>
      <xdr:spPr bwMode="auto">
        <a:xfrm flipH="1" flipV="1">
          <a:off x="1371600" y="1562100"/>
          <a:ext cx="466725" cy="41910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9525</xdr:colOff>
      <xdr:row>9</xdr:row>
      <xdr:rowOff>0</xdr:rowOff>
    </xdr:from>
    <xdr:to>
      <xdr:col>2</xdr:col>
      <xdr:colOff>209550</xdr:colOff>
      <xdr:row>9</xdr:row>
      <xdr:rowOff>0</xdr:rowOff>
    </xdr:to>
    <xdr:sp macro="" textlink="">
      <xdr:nvSpPr>
        <xdr:cNvPr id="32823" name="Line 55"/>
        <xdr:cNvSpPr>
          <a:spLocks noChangeShapeType="1"/>
        </xdr:cNvSpPr>
      </xdr:nvSpPr>
      <xdr:spPr bwMode="auto">
        <a:xfrm flipH="1">
          <a:off x="1181100" y="1562100"/>
          <a:ext cx="20002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419100</xdr:colOff>
      <xdr:row>20</xdr:row>
      <xdr:rowOff>28575</xdr:rowOff>
    </xdr:from>
    <xdr:to>
      <xdr:col>3</xdr:col>
      <xdr:colOff>419100</xdr:colOff>
      <xdr:row>24</xdr:row>
      <xdr:rowOff>57150</xdr:rowOff>
    </xdr:to>
    <xdr:sp macro="" textlink="">
      <xdr:nvSpPr>
        <xdr:cNvPr id="32824" name="Line 56"/>
        <xdr:cNvSpPr>
          <a:spLocks noChangeShapeType="1"/>
        </xdr:cNvSpPr>
      </xdr:nvSpPr>
      <xdr:spPr bwMode="auto">
        <a:xfrm flipH="1">
          <a:off x="2200275" y="3486150"/>
          <a:ext cx="0" cy="7334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666699" mc:Ignorable="a14" a14:legacySpreadsheetColorIndex="5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38100</xdr:colOff>
      <xdr:row>15</xdr:row>
      <xdr:rowOff>9525</xdr:rowOff>
    </xdr:from>
    <xdr:to>
      <xdr:col>4</xdr:col>
      <xdr:colOff>9525</xdr:colOff>
      <xdr:row>24</xdr:row>
      <xdr:rowOff>47625</xdr:rowOff>
    </xdr:to>
    <xdr:sp macro="" textlink="">
      <xdr:nvSpPr>
        <xdr:cNvPr id="32825" name="Line 57"/>
        <xdr:cNvSpPr>
          <a:spLocks noChangeShapeType="1"/>
        </xdr:cNvSpPr>
      </xdr:nvSpPr>
      <xdr:spPr bwMode="auto">
        <a:xfrm flipH="1">
          <a:off x="1819275" y="2581275"/>
          <a:ext cx="581025" cy="162877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419100</xdr:colOff>
      <xdr:row>15</xdr:row>
      <xdr:rowOff>0</xdr:rowOff>
    </xdr:from>
    <xdr:to>
      <xdr:col>3</xdr:col>
      <xdr:colOff>590550</xdr:colOff>
      <xdr:row>19</xdr:row>
      <xdr:rowOff>66675</xdr:rowOff>
    </xdr:to>
    <xdr:sp macro="" textlink="">
      <xdr:nvSpPr>
        <xdr:cNvPr id="32826" name="Line 58"/>
        <xdr:cNvSpPr>
          <a:spLocks noChangeShapeType="1"/>
        </xdr:cNvSpPr>
      </xdr:nvSpPr>
      <xdr:spPr bwMode="auto">
        <a:xfrm flipH="1">
          <a:off x="981075" y="2571750"/>
          <a:ext cx="1390650" cy="7810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390525</xdr:colOff>
      <xdr:row>17</xdr:row>
      <xdr:rowOff>95250</xdr:rowOff>
    </xdr:from>
    <xdr:to>
      <xdr:col>3</xdr:col>
      <xdr:colOff>295275</xdr:colOff>
      <xdr:row>20</xdr:row>
      <xdr:rowOff>38100</xdr:rowOff>
    </xdr:to>
    <xdr:sp macro="" textlink="">
      <xdr:nvSpPr>
        <xdr:cNvPr id="32827" name="Line 59"/>
        <xdr:cNvSpPr>
          <a:spLocks noChangeShapeType="1"/>
        </xdr:cNvSpPr>
      </xdr:nvSpPr>
      <xdr:spPr bwMode="auto">
        <a:xfrm>
          <a:off x="1562100" y="3028950"/>
          <a:ext cx="514350" cy="4667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666699" mc:Ignorable="a14" a14:legacySpreadsheetColorIndex="5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409575</xdr:colOff>
      <xdr:row>19</xdr:row>
      <xdr:rowOff>66675</xdr:rowOff>
    </xdr:from>
    <xdr:to>
      <xdr:col>3</xdr:col>
      <xdr:colOff>19050</xdr:colOff>
      <xdr:row>24</xdr:row>
      <xdr:rowOff>57150</xdr:rowOff>
    </xdr:to>
    <xdr:sp macro="" textlink="">
      <xdr:nvSpPr>
        <xdr:cNvPr id="32828" name="Line 60"/>
        <xdr:cNvSpPr>
          <a:spLocks noChangeShapeType="1"/>
        </xdr:cNvSpPr>
      </xdr:nvSpPr>
      <xdr:spPr bwMode="auto">
        <a:xfrm>
          <a:off x="971550" y="3352800"/>
          <a:ext cx="828675" cy="86677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666699" mc:Ignorable="a14" a14:legacySpreadsheetColorIndex="5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28575</xdr:colOff>
      <xdr:row>24</xdr:row>
      <xdr:rowOff>57150</xdr:rowOff>
    </xdr:from>
    <xdr:to>
      <xdr:col>3</xdr:col>
      <xdr:colOff>409575</xdr:colOff>
      <xdr:row>24</xdr:row>
      <xdr:rowOff>57150</xdr:rowOff>
    </xdr:to>
    <xdr:sp macro="" textlink="">
      <xdr:nvSpPr>
        <xdr:cNvPr id="32829" name="Line 61"/>
        <xdr:cNvSpPr>
          <a:spLocks noChangeShapeType="1"/>
        </xdr:cNvSpPr>
      </xdr:nvSpPr>
      <xdr:spPr bwMode="auto">
        <a:xfrm>
          <a:off x="1809750" y="4219575"/>
          <a:ext cx="381000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666699" mc:Ignorable="a14" a14:legacySpreadsheetColorIndex="5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295275</xdr:colOff>
      <xdr:row>20</xdr:row>
      <xdr:rowOff>28575</xdr:rowOff>
    </xdr:from>
    <xdr:to>
      <xdr:col>3</xdr:col>
      <xdr:colOff>419100</xdr:colOff>
      <xdr:row>20</xdr:row>
      <xdr:rowOff>28575</xdr:rowOff>
    </xdr:to>
    <xdr:sp macro="" textlink="">
      <xdr:nvSpPr>
        <xdr:cNvPr id="32830" name="Line 62"/>
        <xdr:cNvSpPr>
          <a:spLocks noChangeShapeType="1"/>
        </xdr:cNvSpPr>
      </xdr:nvSpPr>
      <xdr:spPr bwMode="auto">
        <a:xfrm>
          <a:off x="2076450" y="3486150"/>
          <a:ext cx="12382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666699" mc:Ignorable="a14" a14:legacySpreadsheetColorIndex="5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333375</xdr:colOff>
      <xdr:row>19</xdr:row>
      <xdr:rowOff>76200</xdr:rowOff>
    </xdr:from>
    <xdr:to>
      <xdr:col>5</xdr:col>
      <xdr:colOff>9525</xdr:colOff>
      <xdr:row>23</xdr:row>
      <xdr:rowOff>142875</xdr:rowOff>
    </xdr:to>
    <xdr:sp macro="" textlink="">
      <xdr:nvSpPr>
        <xdr:cNvPr id="32831" name="Line 63"/>
        <xdr:cNvSpPr>
          <a:spLocks noChangeShapeType="1"/>
        </xdr:cNvSpPr>
      </xdr:nvSpPr>
      <xdr:spPr bwMode="auto">
        <a:xfrm>
          <a:off x="2724150" y="3362325"/>
          <a:ext cx="285750" cy="762000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993300" mc:Ignorable="a14" a14:legacySpreadsheetColorIndex="6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161925</xdr:colOff>
      <xdr:row>17</xdr:row>
      <xdr:rowOff>133350</xdr:rowOff>
    </xdr:from>
    <xdr:to>
      <xdr:col>6</xdr:col>
      <xdr:colOff>133350</xdr:colOff>
      <xdr:row>19</xdr:row>
      <xdr:rowOff>152400</xdr:rowOff>
    </xdr:to>
    <xdr:sp macro="" textlink="">
      <xdr:nvSpPr>
        <xdr:cNvPr id="32832" name="Line 64"/>
        <xdr:cNvSpPr>
          <a:spLocks noChangeShapeType="1"/>
        </xdr:cNvSpPr>
      </xdr:nvSpPr>
      <xdr:spPr bwMode="auto">
        <a:xfrm>
          <a:off x="3162300" y="3067050"/>
          <a:ext cx="581025" cy="37147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993300" mc:Ignorable="a14" a14:legacySpreadsheetColorIndex="6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28575</xdr:colOff>
      <xdr:row>19</xdr:row>
      <xdr:rowOff>85725</xdr:rowOff>
    </xdr:from>
    <xdr:to>
      <xdr:col>3</xdr:col>
      <xdr:colOff>333375</xdr:colOff>
      <xdr:row>24</xdr:row>
      <xdr:rowOff>66675</xdr:rowOff>
    </xdr:to>
    <xdr:sp macro="" textlink="">
      <xdr:nvSpPr>
        <xdr:cNvPr id="32833" name="Line 65"/>
        <xdr:cNvSpPr>
          <a:spLocks noChangeShapeType="1"/>
        </xdr:cNvSpPr>
      </xdr:nvSpPr>
      <xdr:spPr bwMode="auto">
        <a:xfrm flipH="1">
          <a:off x="1809750" y="3371850"/>
          <a:ext cx="304800" cy="857250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993300" mc:Ignorable="a14" a14:legacySpreadsheetColorIndex="6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428625</xdr:colOff>
      <xdr:row>24</xdr:row>
      <xdr:rowOff>114300</xdr:rowOff>
    </xdr:from>
    <xdr:to>
      <xdr:col>3</xdr:col>
      <xdr:colOff>428625</xdr:colOff>
      <xdr:row>28</xdr:row>
      <xdr:rowOff>9525</xdr:rowOff>
    </xdr:to>
    <xdr:sp macro="" textlink="">
      <xdr:nvSpPr>
        <xdr:cNvPr id="32834" name="Line 66"/>
        <xdr:cNvSpPr>
          <a:spLocks noChangeShapeType="1"/>
        </xdr:cNvSpPr>
      </xdr:nvSpPr>
      <xdr:spPr bwMode="auto">
        <a:xfrm>
          <a:off x="2209800" y="4276725"/>
          <a:ext cx="0" cy="6191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28575</xdr:colOff>
      <xdr:row>24</xdr:row>
      <xdr:rowOff>123825</xdr:rowOff>
    </xdr:from>
    <xdr:to>
      <xdr:col>3</xdr:col>
      <xdr:colOff>28575</xdr:colOff>
      <xdr:row>28</xdr:row>
      <xdr:rowOff>19050</xdr:rowOff>
    </xdr:to>
    <xdr:sp macro="" textlink="">
      <xdr:nvSpPr>
        <xdr:cNvPr id="32835" name="Line 67"/>
        <xdr:cNvSpPr>
          <a:spLocks noChangeShapeType="1"/>
        </xdr:cNvSpPr>
      </xdr:nvSpPr>
      <xdr:spPr bwMode="auto">
        <a:xfrm>
          <a:off x="1809750" y="4286250"/>
          <a:ext cx="0" cy="6191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38100</xdr:colOff>
      <xdr:row>27</xdr:row>
      <xdr:rowOff>133350</xdr:rowOff>
    </xdr:from>
    <xdr:to>
      <xdr:col>3</xdr:col>
      <xdr:colOff>428625</xdr:colOff>
      <xdr:row>27</xdr:row>
      <xdr:rowOff>133350</xdr:rowOff>
    </xdr:to>
    <xdr:sp macro="" textlink="">
      <xdr:nvSpPr>
        <xdr:cNvPr id="32836" name="Line 68"/>
        <xdr:cNvSpPr>
          <a:spLocks noChangeShapeType="1"/>
        </xdr:cNvSpPr>
      </xdr:nvSpPr>
      <xdr:spPr bwMode="auto">
        <a:xfrm>
          <a:off x="1819275" y="4838700"/>
          <a:ext cx="3905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66675</xdr:colOff>
      <xdr:row>28</xdr:row>
      <xdr:rowOff>47625</xdr:rowOff>
    </xdr:from>
    <xdr:to>
      <xdr:col>3</xdr:col>
      <xdr:colOff>390525</xdr:colOff>
      <xdr:row>29</xdr:row>
      <xdr:rowOff>152400</xdr:rowOff>
    </xdr:to>
    <xdr:sp macro="" textlink="">
      <xdr:nvSpPr>
        <xdr:cNvPr id="32837" name="Oval 69"/>
        <xdr:cNvSpPr>
          <a:spLocks noChangeArrowheads="1"/>
        </xdr:cNvSpPr>
      </xdr:nvSpPr>
      <xdr:spPr bwMode="auto">
        <a:xfrm>
          <a:off x="1847850" y="4933950"/>
          <a:ext cx="323850" cy="28575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905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round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</a:p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</a:p>
      </xdr:txBody>
    </xdr:sp>
    <xdr:clientData/>
  </xdr:twoCellAnchor>
  <xdr:twoCellAnchor>
    <xdr:from>
      <xdr:col>1</xdr:col>
      <xdr:colOff>400050</xdr:colOff>
      <xdr:row>17</xdr:row>
      <xdr:rowOff>28575</xdr:rowOff>
    </xdr:from>
    <xdr:to>
      <xdr:col>2</xdr:col>
      <xdr:colOff>504825</xdr:colOff>
      <xdr:row>19</xdr:row>
      <xdr:rowOff>76200</xdr:rowOff>
    </xdr:to>
    <xdr:sp macro="" textlink="">
      <xdr:nvSpPr>
        <xdr:cNvPr id="32838" name="Line 70"/>
        <xdr:cNvSpPr>
          <a:spLocks noChangeShapeType="1"/>
        </xdr:cNvSpPr>
      </xdr:nvSpPr>
      <xdr:spPr bwMode="auto">
        <a:xfrm flipH="1">
          <a:off x="962025" y="2962275"/>
          <a:ext cx="714375" cy="400050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993300" mc:Ignorable="a14" a14:legacySpreadsheetColorIndex="6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22</xdr:row>
      <xdr:rowOff>95250</xdr:rowOff>
    </xdr:from>
    <xdr:to>
      <xdr:col>2</xdr:col>
      <xdr:colOff>190500</xdr:colOff>
      <xdr:row>24</xdr:row>
      <xdr:rowOff>47625</xdr:rowOff>
    </xdr:to>
    <xdr:sp macro="" textlink="">
      <xdr:nvSpPr>
        <xdr:cNvPr id="32839" name="Oval 71"/>
        <xdr:cNvSpPr>
          <a:spLocks noChangeArrowheads="1"/>
        </xdr:cNvSpPr>
      </xdr:nvSpPr>
      <xdr:spPr bwMode="auto">
        <a:xfrm>
          <a:off x="1038225" y="3895725"/>
          <a:ext cx="323850" cy="31432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905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round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 1</a:t>
          </a:r>
        </a:p>
      </xdr:txBody>
    </xdr:sp>
    <xdr:clientData/>
  </xdr:twoCellAnchor>
  <xdr:twoCellAnchor>
    <xdr:from>
      <xdr:col>4</xdr:col>
      <xdr:colOff>523875</xdr:colOff>
      <xdr:row>7</xdr:row>
      <xdr:rowOff>47625</xdr:rowOff>
    </xdr:from>
    <xdr:to>
      <xdr:col>5</xdr:col>
      <xdr:colOff>381000</xdr:colOff>
      <xdr:row>10</xdr:row>
      <xdr:rowOff>152400</xdr:rowOff>
    </xdr:to>
    <xdr:sp macro="" textlink="">
      <xdr:nvSpPr>
        <xdr:cNvPr id="32840" name="Line 72"/>
        <xdr:cNvSpPr>
          <a:spLocks noChangeShapeType="1"/>
        </xdr:cNvSpPr>
      </xdr:nvSpPr>
      <xdr:spPr bwMode="auto">
        <a:xfrm flipV="1">
          <a:off x="2914650" y="1257300"/>
          <a:ext cx="466725" cy="63817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993300" mc:Ignorable="a14" a14:legacySpreadsheetColorIndex="6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390525</xdr:colOff>
      <xdr:row>16</xdr:row>
      <xdr:rowOff>114300</xdr:rowOff>
    </xdr:from>
    <xdr:to>
      <xdr:col>2</xdr:col>
      <xdr:colOff>390525</xdr:colOff>
      <xdr:row>17</xdr:row>
      <xdr:rowOff>95250</xdr:rowOff>
    </xdr:to>
    <xdr:sp macro="" textlink="">
      <xdr:nvSpPr>
        <xdr:cNvPr id="32841" name="Line 73"/>
        <xdr:cNvSpPr>
          <a:spLocks noChangeShapeType="1"/>
        </xdr:cNvSpPr>
      </xdr:nvSpPr>
      <xdr:spPr bwMode="auto">
        <a:xfrm flipV="1">
          <a:off x="1562100" y="2867025"/>
          <a:ext cx="0" cy="1619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666699" mc:Ignorable="a14" a14:legacySpreadsheetColorIndex="5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409575</xdr:colOff>
      <xdr:row>17</xdr:row>
      <xdr:rowOff>133350</xdr:rowOff>
    </xdr:from>
    <xdr:to>
      <xdr:col>1</xdr:col>
      <xdr:colOff>409575</xdr:colOff>
      <xdr:row>19</xdr:row>
      <xdr:rowOff>66675</xdr:rowOff>
    </xdr:to>
    <xdr:sp macro="" textlink="">
      <xdr:nvSpPr>
        <xdr:cNvPr id="32843" name="Line 75"/>
        <xdr:cNvSpPr>
          <a:spLocks noChangeShapeType="1"/>
        </xdr:cNvSpPr>
      </xdr:nvSpPr>
      <xdr:spPr bwMode="auto">
        <a:xfrm flipV="1">
          <a:off x="971550" y="3067050"/>
          <a:ext cx="0" cy="28575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808080" mc:Ignorable="a14" a14:legacySpreadsheetColorIndex="23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161925</xdr:colOff>
      <xdr:row>18</xdr:row>
      <xdr:rowOff>133350</xdr:rowOff>
    </xdr:from>
    <xdr:to>
      <xdr:col>3</xdr:col>
      <xdr:colOff>9525</xdr:colOff>
      <xdr:row>21</xdr:row>
      <xdr:rowOff>123825</xdr:rowOff>
    </xdr:to>
    <xdr:sp macro="" textlink="">
      <xdr:nvSpPr>
        <xdr:cNvPr id="32844" name="Line 76"/>
        <xdr:cNvSpPr>
          <a:spLocks noChangeShapeType="1"/>
        </xdr:cNvSpPr>
      </xdr:nvSpPr>
      <xdr:spPr bwMode="auto">
        <a:xfrm flipH="1">
          <a:off x="1333500" y="3248025"/>
          <a:ext cx="457200" cy="5048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66675</xdr:colOff>
      <xdr:row>17</xdr:row>
      <xdr:rowOff>95250</xdr:rowOff>
    </xdr:from>
    <xdr:to>
      <xdr:col>3</xdr:col>
      <xdr:colOff>209550</xdr:colOff>
      <xdr:row>18</xdr:row>
      <xdr:rowOff>66675</xdr:rowOff>
    </xdr:to>
    <xdr:sp macro="" textlink="">
      <xdr:nvSpPr>
        <xdr:cNvPr id="32845" name="Line 77"/>
        <xdr:cNvSpPr>
          <a:spLocks noChangeShapeType="1"/>
        </xdr:cNvSpPr>
      </xdr:nvSpPr>
      <xdr:spPr bwMode="auto">
        <a:xfrm flipH="1">
          <a:off x="1847850" y="3028950"/>
          <a:ext cx="142875" cy="1524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18</xdr:row>
      <xdr:rowOff>66675</xdr:rowOff>
    </xdr:from>
    <xdr:to>
      <xdr:col>3</xdr:col>
      <xdr:colOff>57150</xdr:colOff>
      <xdr:row>18</xdr:row>
      <xdr:rowOff>123825</xdr:rowOff>
    </xdr:to>
    <xdr:sp macro="" textlink="">
      <xdr:nvSpPr>
        <xdr:cNvPr id="32846" name="Line 78"/>
        <xdr:cNvSpPr>
          <a:spLocks noChangeShapeType="1"/>
        </xdr:cNvSpPr>
      </xdr:nvSpPr>
      <xdr:spPr bwMode="auto">
        <a:xfrm flipV="1">
          <a:off x="1790700" y="3181350"/>
          <a:ext cx="47625" cy="571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219075</xdr:colOff>
      <xdr:row>2</xdr:row>
      <xdr:rowOff>114300</xdr:rowOff>
    </xdr:from>
    <xdr:to>
      <xdr:col>7</xdr:col>
      <xdr:colOff>542925</xdr:colOff>
      <xdr:row>4</xdr:row>
      <xdr:rowOff>57150</xdr:rowOff>
    </xdr:to>
    <xdr:sp macro="" textlink="">
      <xdr:nvSpPr>
        <xdr:cNvPr id="32847" name="Oval 79"/>
        <xdr:cNvSpPr>
          <a:spLocks noChangeArrowheads="1"/>
        </xdr:cNvSpPr>
      </xdr:nvSpPr>
      <xdr:spPr bwMode="auto">
        <a:xfrm>
          <a:off x="4438650" y="514350"/>
          <a:ext cx="323850" cy="2667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905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round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 1</a:t>
          </a:r>
        </a:p>
      </xdr:txBody>
    </xdr:sp>
    <xdr:clientData/>
  </xdr:twoCellAnchor>
  <xdr:twoCellAnchor>
    <xdr:from>
      <xdr:col>7</xdr:col>
      <xdr:colOff>228600</xdr:colOff>
      <xdr:row>4</xdr:row>
      <xdr:rowOff>123825</xdr:rowOff>
    </xdr:from>
    <xdr:to>
      <xdr:col>7</xdr:col>
      <xdr:colOff>552450</xdr:colOff>
      <xdr:row>6</xdr:row>
      <xdr:rowOff>66675</xdr:rowOff>
    </xdr:to>
    <xdr:sp macro="" textlink="">
      <xdr:nvSpPr>
        <xdr:cNvPr id="32848" name="Oval 80"/>
        <xdr:cNvSpPr>
          <a:spLocks noChangeArrowheads="1"/>
        </xdr:cNvSpPr>
      </xdr:nvSpPr>
      <xdr:spPr bwMode="auto">
        <a:xfrm>
          <a:off x="4448175" y="847725"/>
          <a:ext cx="323850" cy="2667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905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round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</a:p>
      </xdr:txBody>
    </xdr:sp>
    <xdr:clientData/>
  </xdr:twoCellAnchor>
  <xdr:twoCellAnchor>
    <xdr:from>
      <xdr:col>7</xdr:col>
      <xdr:colOff>238125</xdr:colOff>
      <xdr:row>6</xdr:row>
      <xdr:rowOff>123825</xdr:rowOff>
    </xdr:from>
    <xdr:to>
      <xdr:col>7</xdr:col>
      <xdr:colOff>561975</xdr:colOff>
      <xdr:row>8</xdr:row>
      <xdr:rowOff>66675</xdr:rowOff>
    </xdr:to>
    <xdr:sp macro="" textlink="">
      <xdr:nvSpPr>
        <xdr:cNvPr id="32849" name="Oval 81"/>
        <xdr:cNvSpPr>
          <a:spLocks noChangeArrowheads="1"/>
        </xdr:cNvSpPr>
      </xdr:nvSpPr>
      <xdr:spPr bwMode="auto">
        <a:xfrm>
          <a:off x="4457700" y="1171575"/>
          <a:ext cx="323850" cy="27622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905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round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 3</a:t>
          </a:r>
        </a:p>
      </xdr:txBody>
    </xdr:sp>
    <xdr:clientData/>
  </xdr:twoCellAnchor>
  <xdr:twoCellAnchor>
    <xdr:from>
      <xdr:col>7</xdr:col>
      <xdr:colOff>247650</xdr:colOff>
      <xdr:row>8</xdr:row>
      <xdr:rowOff>114300</xdr:rowOff>
    </xdr:from>
    <xdr:to>
      <xdr:col>7</xdr:col>
      <xdr:colOff>571500</xdr:colOff>
      <xdr:row>10</xdr:row>
      <xdr:rowOff>57150</xdr:rowOff>
    </xdr:to>
    <xdr:sp macro="" textlink="">
      <xdr:nvSpPr>
        <xdr:cNvPr id="32850" name="Oval 82"/>
        <xdr:cNvSpPr>
          <a:spLocks noChangeArrowheads="1"/>
        </xdr:cNvSpPr>
      </xdr:nvSpPr>
      <xdr:spPr bwMode="auto">
        <a:xfrm>
          <a:off x="4467225" y="1495425"/>
          <a:ext cx="323850" cy="3048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905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round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 4</a:t>
          </a:r>
        </a:p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</a:p>
      </xdr:txBody>
    </xdr:sp>
    <xdr:clientData/>
  </xdr:twoCellAnchor>
  <xdr:twoCellAnchor>
    <xdr:from>
      <xdr:col>7</xdr:col>
      <xdr:colOff>247650</xdr:colOff>
      <xdr:row>10</xdr:row>
      <xdr:rowOff>123825</xdr:rowOff>
    </xdr:from>
    <xdr:to>
      <xdr:col>7</xdr:col>
      <xdr:colOff>571500</xdr:colOff>
      <xdr:row>12</xdr:row>
      <xdr:rowOff>66675</xdr:rowOff>
    </xdr:to>
    <xdr:sp macro="" textlink="">
      <xdr:nvSpPr>
        <xdr:cNvPr id="32851" name="Oval 83"/>
        <xdr:cNvSpPr>
          <a:spLocks noChangeArrowheads="1"/>
        </xdr:cNvSpPr>
      </xdr:nvSpPr>
      <xdr:spPr bwMode="auto">
        <a:xfrm>
          <a:off x="4467225" y="1866900"/>
          <a:ext cx="323850" cy="27622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905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round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 5</a:t>
          </a:r>
        </a:p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</a:p>
      </xdr:txBody>
    </xdr:sp>
    <xdr:clientData/>
  </xdr:twoCellAnchor>
  <xdr:twoCellAnchor>
    <xdr:from>
      <xdr:col>4</xdr:col>
      <xdr:colOff>342900</xdr:colOff>
      <xdr:row>14</xdr:row>
      <xdr:rowOff>47625</xdr:rowOff>
    </xdr:from>
    <xdr:to>
      <xdr:col>5</xdr:col>
      <xdr:colOff>57150</xdr:colOff>
      <xdr:row>15</xdr:row>
      <xdr:rowOff>142875</xdr:rowOff>
    </xdr:to>
    <xdr:sp macro="" textlink="">
      <xdr:nvSpPr>
        <xdr:cNvPr id="32852" name="Oval 84"/>
        <xdr:cNvSpPr>
          <a:spLocks noChangeArrowheads="1"/>
        </xdr:cNvSpPr>
      </xdr:nvSpPr>
      <xdr:spPr bwMode="auto">
        <a:xfrm>
          <a:off x="2733675" y="2447925"/>
          <a:ext cx="323850" cy="2667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905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round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 6</a:t>
          </a:r>
        </a:p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</a:p>
      </xdr:txBody>
    </xdr:sp>
    <xdr:clientData/>
  </xdr:twoCellAnchor>
  <xdr:twoCellAnchor>
    <xdr:from>
      <xdr:col>3</xdr:col>
      <xdr:colOff>152400</xdr:colOff>
      <xdr:row>16</xdr:row>
      <xdr:rowOff>38100</xdr:rowOff>
    </xdr:from>
    <xdr:to>
      <xdr:col>3</xdr:col>
      <xdr:colOff>476250</xdr:colOff>
      <xdr:row>17</xdr:row>
      <xdr:rowOff>123825</xdr:rowOff>
    </xdr:to>
    <xdr:sp macro="" textlink="">
      <xdr:nvSpPr>
        <xdr:cNvPr id="32853" name="Oval 85"/>
        <xdr:cNvSpPr>
          <a:spLocks noChangeArrowheads="1"/>
        </xdr:cNvSpPr>
      </xdr:nvSpPr>
      <xdr:spPr bwMode="auto">
        <a:xfrm>
          <a:off x="1933575" y="2790825"/>
          <a:ext cx="323850" cy="2667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905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round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 6</a:t>
          </a:r>
        </a:p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</a:p>
      </xdr:txBody>
    </xdr:sp>
    <xdr:clientData/>
  </xdr:twoCellAnchor>
  <xdr:twoCellAnchor>
    <xdr:from>
      <xdr:col>1</xdr:col>
      <xdr:colOff>161925</xdr:colOff>
      <xdr:row>12</xdr:row>
      <xdr:rowOff>66675</xdr:rowOff>
    </xdr:from>
    <xdr:to>
      <xdr:col>1</xdr:col>
      <xdr:colOff>485775</xdr:colOff>
      <xdr:row>14</xdr:row>
      <xdr:rowOff>9525</xdr:rowOff>
    </xdr:to>
    <xdr:sp macro="" textlink="">
      <xdr:nvSpPr>
        <xdr:cNvPr id="32854" name="Oval 86"/>
        <xdr:cNvSpPr>
          <a:spLocks noChangeArrowheads="1"/>
        </xdr:cNvSpPr>
      </xdr:nvSpPr>
      <xdr:spPr bwMode="auto">
        <a:xfrm>
          <a:off x="723900" y="2143125"/>
          <a:ext cx="323850" cy="2667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905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round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 6</a:t>
          </a:r>
        </a:p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</a:p>
      </xdr:txBody>
    </xdr:sp>
    <xdr:clientData/>
  </xdr:twoCellAnchor>
  <xdr:twoCellAnchor>
    <xdr:from>
      <xdr:col>2</xdr:col>
      <xdr:colOff>314325</xdr:colOff>
      <xdr:row>24</xdr:row>
      <xdr:rowOff>104775</xdr:rowOff>
    </xdr:from>
    <xdr:to>
      <xdr:col>3</xdr:col>
      <xdr:colOff>0</xdr:colOff>
      <xdr:row>28</xdr:row>
      <xdr:rowOff>66675</xdr:rowOff>
    </xdr:to>
    <xdr:sp macro="" textlink="">
      <xdr:nvSpPr>
        <xdr:cNvPr id="32855" name="Line 87"/>
        <xdr:cNvSpPr>
          <a:spLocks noChangeShapeType="1"/>
        </xdr:cNvSpPr>
      </xdr:nvSpPr>
      <xdr:spPr bwMode="auto">
        <a:xfrm flipH="1">
          <a:off x="1485900" y="4267200"/>
          <a:ext cx="295275" cy="6858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314325</xdr:colOff>
      <xdr:row>19</xdr:row>
      <xdr:rowOff>104775</xdr:rowOff>
    </xdr:from>
    <xdr:to>
      <xdr:col>1</xdr:col>
      <xdr:colOff>352425</xdr:colOff>
      <xdr:row>21</xdr:row>
      <xdr:rowOff>95250</xdr:rowOff>
    </xdr:to>
    <xdr:sp macro="" textlink="">
      <xdr:nvSpPr>
        <xdr:cNvPr id="32856" name="Line 88"/>
        <xdr:cNvSpPr>
          <a:spLocks noChangeShapeType="1"/>
        </xdr:cNvSpPr>
      </xdr:nvSpPr>
      <xdr:spPr bwMode="auto">
        <a:xfrm flipH="1">
          <a:off x="314325" y="3390900"/>
          <a:ext cx="600075" cy="3333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304800</xdr:colOff>
      <xdr:row>19</xdr:row>
      <xdr:rowOff>133350</xdr:rowOff>
    </xdr:from>
    <xdr:to>
      <xdr:col>2</xdr:col>
      <xdr:colOff>19050</xdr:colOff>
      <xdr:row>28</xdr:row>
      <xdr:rowOff>76200</xdr:rowOff>
    </xdr:to>
    <xdr:sp macro="" textlink="">
      <xdr:nvSpPr>
        <xdr:cNvPr id="32857" name="Arc 89"/>
        <xdr:cNvSpPr>
          <a:spLocks/>
        </xdr:cNvSpPr>
      </xdr:nvSpPr>
      <xdr:spPr bwMode="auto">
        <a:xfrm rot="-12649664">
          <a:off x="866775" y="3419475"/>
          <a:ext cx="323850" cy="1543050"/>
        </a:xfrm>
        <a:custGeom>
          <a:avLst/>
          <a:gdLst>
            <a:gd name="G0" fmla="+- 0 0 0"/>
            <a:gd name="G1" fmla="+- 21600 0 0"/>
            <a:gd name="G2" fmla="+- 21600 0 0"/>
            <a:gd name="T0" fmla="*/ 0 w 21600"/>
            <a:gd name="T1" fmla="*/ 0 h 35669"/>
            <a:gd name="T2" fmla="*/ 16390 w 21600"/>
            <a:gd name="T3" fmla="*/ 35669 h 35669"/>
            <a:gd name="T4" fmla="*/ 0 w 21600"/>
            <a:gd name="T5" fmla="*/ 21600 h 35669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</a:cxnLst>
          <a:rect l="0" t="0" r="r" b="b"/>
          <a:pathLst>
            <a:path w="21600" h="35669" fill="none" extrusionOk="0">
              <a:moveTo>
                <a:pt x="-1" y="0"/>
              </a:moveTo>
              <a:cubicBezTo>
                <a:pt x="11929" y="0"/>
                <a:pt x="21600" y="9670"/>
                <a:pt x="21600" y="21600"/>
              </a:cubicBezTo>
              <a:cubicBezTo>
                <a:pt x="21600" y="26761"/>
                <a:pt x="19751" y="31752"/>
                <a:pt x="16389" y="35668"/>
              </a:cubicBezTo>
            </a:path>
            <a:path w="21600" h="35669" stroke="0" extrusionOk="0">
              <a:moveTo>
                <a:pt x="-1" y="0"/>
              </a:moveTo>
              <a:cubicBezTo>
                <a:pt x="11929" y="0"/>
                <a:pt x="21600" y="9670"/>
                <a:pt x="21600" y="21600"/>
              </a:cubicBezTo>
              <a:cubicBezTo>
                <a:pt x="21600" y="26761"/>
                <a:pt x="19751" y="31752"/>
                <a:pt x="16389" y="35668"/>
              </a:cubicBezTo>
              <a:lnTo>
                <a:pt x="0" y="21600"/>
              </a:lnTo>
              <a:close/>
            </a:path>
          </a:pathLst>
        </a:cu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20</xdr:row>
      <xdr:rowOff>142875</xdr:rowOff>
    </xdr:from>
    <xdr:to>
      <xdr:col>1</xdr:col>
      <xdr:colOff>95250</xdr:colOff>
      <xdr:row>22</xdr:row>
      <xdr:rowOff>28575</xdr:rowOff>
    </xdr:to>
    <xdr:sp macro="" textlink="">
      <xdr:nvSpPr>
        <xdr:cNvPr id="32858" name="Line 90"/>
        <xdr:cNvSpPr>
          <a:spLocks noChangeShapeType="1"/>
        </xdr:cNvSpPr>
      </xdr:nvSpPr>
      <xdr:spPr bwMode="auto">
        <a:xfrm>
          <a:off x="561975" y="3600450"/>
          <a:ext cx="95250" cy="228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219075</xdr:colOff>
      <xdr:row>27</xdr:row>
      <xdr:rowOff>57150</xdr:rowOff>
    </xdr:from>
    <xdr:to>
      <xdr:col>2</xdr:col>
      <xdr:colOff>400050</xdr:colOff>
      <xdr:row>27</xdr:row>
      <xdr:rowOff>123825</xdr:rowOff>
    </xdr:to>
    <xdr:sp macro="" textlink="">
      <xdr:nvSpPr>
        <xdr:cNvPr id="32859" name="Line 91"/>
        <xdr:cNvSpPr>
          <a:spLocks noChangeShapeType="1"/>
        </xdr:cNvSpPr>
      </xdr:nvSpPr>
      <xdr:spPr bwMode="auto">
        <a:xfrm>
          <a:off x="1390650" y="4762500"/>
          <a:ext cx="180975" cy="666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19050</xdr:colOff>
      <xdr:row>16</xdr:row>
      <xdr:rowOff>19050</xdr:rowOff>
    </xdr:from>
    <xdr:to>
      <xdr:col>3</xdr:col>
      <xdr:colOff>28575</xdr:colOff>
      <xdr:row>18</xdr:row>
      <xdr:rowOff>66675</xdr:rowOff>
    </xdr:to>
    <xdr:sp macro="" textlink="">
      <xdr:nvSpPr>
        <xdr:cNvPr id="32860" name="Line 92"/>
        <xdr:cNvSpPr>
          <a:spLocks noChangeShapeType="1"/>
        </xdr:cNvSpPr>
      </xdr:nvSpPr>
      <xdr:spPr bwMode="auto">
        <a:xfrm flipH="1" flipV="1">
          <a:off x="1190625" y="2771775"/>
          <a:ext cx="619125" cy="40957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8080" mc:Ignorable="a14" a14:legacySpreadsheetColorIndex="21"/>
          </a:solidFill>
          <a:prstDash val="sysDot"/>
          <a:round/>
          <a:headEnd type="oval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323850</xdr:colOff>
      <xdr:row>12</xdr:row>
      <xdr:rowOff>57150</xdr:rowOff>
    </xdr:from>
    <xdr:to>
      <xdr:col>5</xdr:col>
      <xdr:colOff>314325</xdr:colOff>
      <xdr:row>15</xdr:row>
      <xdr:rowOff>0</xdr:rowOff>
    </xdr:to>
    <xdr:cxnSp macro="">
      <xdr:nvCxnSpPr>
        <xdr:cNvPr id="32861" name="AutoShape 93"/>
        <xdr:cNvCxnSpPr>
          <a:cxnSpLocks noChangeShapeType="1"/>
          <a:endCxn id="32854" idx="0"/>
        </xdr:cNvCxnSpPr>
      </xdr:nvCxnSpPr>
      <xdr:spPr bwMode="auto">
        <a:xfrm rot="10800000">
          <a:off x="885825" y="2133600"/>
          <a:ext cx="2428875" cy="438150"/>
        </a:xfrm>
        <a:prstGeom prst="bentConnector4">
          <a:avLst>
            <a:gd name="adj1" fmla="val 782"/>
            <a:gd name="adj2" fmla="val 150000"/>
          </a:avLst>
        </a:prstGeom>
        <a:noFill/>
        <a:ln w="28575">
          <a:solidFill>
            <a:srgbClr xmlns:mc="http://schemas.openxmlformats.org/markup-compatibility/2006" xmlns:a14="http://schemas.microsoft.com/office/drawing/2010/main" val="008080" mc:Ignorable="a14" a14:legacySpreadsheetColorIndex="21"/>
          </a:solidFill>
          <a:prstDash val="sysDot"/>
          <a:miter lim="800000"/>
          <a:headEnd type="oval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</xdr:col>
      <xdr:colOff>85725</xdr:colOff>
      <xdr:row>18</xdr:row>
      <xdr:rowOff>152400</xdr:rowOff>
    </xdr:from>
    <xdr:to>
      <xdr:col>2</xdr:col>
      <xdr:colOff>409575</xdr:colOff>
      <xdr:row>20</xdr:row>
      <xdr:rowOff>76200</xdr:rowOff>
    </xdr:to>
    <xdr:sp macro="" textlink="">
      <xdr:nvSpPr>
        <xdr:cNvPr id="32863" name="Oval 95"/>
        <xdr:cNvSpPr>
          <a:spLocks noChangeArrowheads="1"/>
        </xdr:cNvSpPr>
      </xdr:nvSpPr>
      <xdr:spPr bwMode="auto">
        <a:xfrm>
          <a:off x="1257300" y="3267075"/>
          <a:ext cx="323850" cy="2667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905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round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 5</a:t>
          </a:r>
        </a:p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</a:p>
      </xdr:txBody>
    </xdr:sp>
    <xdr:clientData/>
  </xdr:twoCellAnchor>
  <xdr:twoCellAnchor>
    <xdr:from>
      <xdr:col>2</xdr:col>
      <xdr:colOff>381000</xdr:colOff>
      <xdr:row>17</xdr:row>
      <xdr:rowOff>57150</xdr:rowOff>
    </xdr:from>
    <xdr:to>
      <xdr:col>6</xdr:col>
      <xdr:colOff>19050</xdr:colOff>
      <xdr:row>20</xdr:row>
      <xdr:rowOff>47625</xdr:rowOff>
    </xdr:to>
    <xdr:sp macro="" textlink="">
      <xdr:nvSpPr>
        <xdr:cNvPr id="32864" name="Line 96"/>
        <xdr:cNvSpPr>
          <a:spLocks noChangeShapeType="1"/>
        </xdr:cNvSpPr>
      </xdr:nvSpPr>
      <xdr:spPr bwMode="auto">
        <a:xfrm flipH="1">
          <a:off x="1552575" y="2990850"/>
          <a:ext cx="2076450" cy="51435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8080" mc:Ignorable="a14" a14:legacySpreadsheetColorIndex="21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285750</xdr:colOff>
      <xdr:row>24</xdr:row>
      <xdr:rowOff>152400</xdr:rowOff>
    </xdr:from>
    <xdr:to>
      <xdr:col>1</xdr:col>
      <xdr:colOff>352425</xdr:colOff>
      <xdr:row>26</xdr:row>
      <xdr:rowOff>19050</xdr:rowOff>
    </xdr:to>
    <xdr:sp macro="" textlink="">
      <xdr:nvSpPr>
        <xdr:cNvPr id="32865" name="Line 97"/>
        <xdr:cNvSpPr>
          <a:spLocks noChangeShapeType="1"/>
        </xdr:cNvSpPr>
      </xdr:nvSpPr>
      <xdr:spPr bwMode="auto">
        <a:xfrm flipV="1">
          <a:off x="285750" y="4314825"/>
          <a:ext cx="628650" cy="22860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oval" w="med" len="med"/>
          <a:tailEnd type="oval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171450</xdr:colOff>
      <xdr:row>18</xdr:row>
      <xdr:rowOff>38100</xdr:rowOff>
    </xdr:from>
    <xdr:to>
      <xdr:col>7</xdr:col>
      <xdr:colOff>495300</xdr:colOff>
      <xdr:row>19</xdr:row>
      <xdr:rowOff>133350</xdr:rowOff>
    </xdr:to>
    <xdr:sp macro="" textlink="">
      <xdr:nvSpPr>
        <xdr:cNvPr id="32866" name="Oval 98"/>
        <xdr:cNvSpPr>
          <a:spLocks noChangeArrowheads="1"/>
        </xdr:cNvSpPr>
      </xdr:nvSpPr>
      <xdr:spPr bwMode="auto">
        <a:xfrm>
          <a:off x="4391025" y="3152775"/>
          <a:ext cx="323850" cy="2667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905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round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 5</a:t>
          </a:r>
        </a:p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</a:p>
      </xdr:txBody>
    </xdr:sp>
    <xdr:clientData/>
  </xdr:twoCellAnchor>
  <xdr:twoCellAnchor>
    <xdr:from>
      <xdr:col>9</xdr:col>
      <xdr:colOff>504825</xdr:colOff>
      <xdr:row>19</xdr:row>
      <xdr:rowOff>28575</xdr:rowOff>
    </xdr:from>
    <xdr:to>
      <xdr:col>12</xdr:col>
      <xdr:colOff>171450</xdr:colOff>
      <xdr:row>20</xdr:row>
      <xdr:rowOff>142875</xdr:rowOff>
    </xdr:to>
    <xdr:sp macro="" textlink="">
      <xdr:nvSpPr>
        <xdr:cNvPr id="32868" name="Rectangle 100"/>
        <xdr:cNvSpPr>
          <a:spLocks noChangeArrowheads="1"/>
        </xdr:cNvSpPr>
      </xdr:nvSpPr>
      <xdr:spPr bwMode="auto">
        <a:xfrm>
          <a:off x="5943600" y="3314700"/>
          <a:ext cx="1495425" cy="285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9050">
          <a:solidFill>
            <a:srgbClr xmlns:mc="http://schemas.openxmlformats.org/markup-compatibility/2006" xmlns:a14="http://schemas.microsoft.com/office/drawing/2010/main" val="993300" mc:Ignorable="a14" a14:legacySpreadsheetColorIndex="60"/>
          </a:solidFill>
          <a:miter lim="800000"/>
          <a:headEnd/>
          <a:tailEnd/>
        </a:ln>
      </xdr:spPr>
    </xdr:sp>
    <xdr:clientData/>
  </xdr:twoCellAnchor>
  <xdr:twoCellAnchor>
    <xdr:from>
      <xdr:col>12</xdr:col>
      <xdr:colOff>171450</xdr:colOff>
      <xdr:row>20</xdr:row>
      <xdr:rowOff>142875</xdr:rowOff>
    </xdr:from>
    <xdr:to>
      <xdr:col>12</xdr:col>
      <xdr:colOff>171450</xdr:colOff>
      <xdr:row>22</xdr:row>
      <xdr:rowOff>133350</xdr:rowOff>
    </xdr:to>
    <xdr:sp macro="" textlink="">
      <xdr:nvSpPr>
        <xdr:cNvPr id="32869" name="Line 101"/>
        <xdr:cNvSpPr>
          <a:spLocks noChangeShapeType="1"/>
        </xdr:cNvSpPr>
      </xdr:nvSpPr>
      <xdr:spPr bwMode="auto">
        <a:xfrm>
          <a:off x="7439025" y="3600450"/>
          <a:ext cx="0" cy="33337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993300" mc:Ignorable="a14" a14:legacySpreadsheetColorIndex="6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514350</xdr:colOff>
      <xdr:row>22</xdr:row>
      <xdr:rowOff>123825</xdr:rowOff>
    </xdr:from>
    <xdr:to>
      <xdr:col>12</xdr:col>
      <xdr:colOff>171450</xdr:colOff>
      <xdr:row>22</xdr:row>
      <xdr:rowOff>123825</xdr:rowOff>
    </xdr:to>
    <xdr:sp macro="" textlink="">
      <xdr:nvSpPr>
        <xdr:cNvPr id="32871" name="Line 103"/>
        <xdr:cNvSpPr>
          <a:spLocks noChangeShapeType="1"/>
        </xdr:cNvSpPr>
      </xdr:nvSpPr>
      <xdr:spPr bwMode="auto">
        <a:xfrm flipH="1">
          <a:off x="7172325" y="3924300"/>
          <a:ext cx="266700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993300" mc:Ignorable="a14" a14:legacySpreadsheetColorIndex="6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219075</xdr:colOff>
      <xdr:row>21</xdr:row>
      <xdr:rowOff>9525</xdr:rowOff>
    </xdr:from>
    <xdr:to>
      <xdr:col>11</xdr:col>
      <xdr:colOff>514350</xdr:colOff>
      <xdr:row>22</xdr:row>
      <xdr:rowOff>133350</xdr:rowOff>
    </xdr:to>
    <xdr:sp macro="" textlink="">
      <xdr:nvSpPr>
        <xdr:cNvPr id="32872" name="Line 104"/>
        <xdr:cNvSpPr>
          <a:spLocks noChangeShapeType="1"/>
        </xdr:cNvSpPr>
      </xdr:nvSpPr>
      <xdr:spPr bwMode="auto">
        <a:xfrm flipH="1" flipV="1">
          <a:off x="6877050" y="3638550"/>
          <a:ext cx="295275" cy="29527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993300" mc:Ignorable="a14" a14:legacySpreadsheetColorIndex="6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495300</xdr:colOff>
      <xdr:row>19</xdr:row>
      <xdr:rowOff>47625</xdr:rowOff>
    </xdr:from>
    <xdr:to>
      <xdr:col>12</xdr:col>
      <xdr:colOff>161925</xdr:colOff>
      <xdr:row>19</xdr:row>
      <xdr:rowOff>47625</xdr:rowOff>
    </xdr:to>
    <xdr:sp macro="" textlink="">
      <xdr:nvSpPr>
        <xdr:cNvPr id="32873" name="Line 105"/>
        <xdr:cNvSpPr>
          <a:spLocks noChangeShapeType="1"/>
        </xdr:cNvSpPr>
      </xdr:nvSpPr>
      <xdr:spPr bwMode="auto">
        <a:xfrm>
          <a:off x="5934075" y="3333750"/>
          <a:ext cx="14954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00" mc:Ignorable="a14" a14:legacySpreadsheetColorIndex="6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504825</xdr:colOff>
      <xdr:row>20</xdr:row>
      <xdr:rowOff>123825</xdr:rowOff>
    </xdr:from>
    <xdr:to>
      <xdr:col>12</xdr:col>
      <xdr:colOff>171450</xdr:colOff>
      <xdr:row>20</xdr:row>
      <xdr:rowOff>123825</xdr:rowOff>
    </xdr:to>
    <xdr:sp macro="" textlink="">
      <xdr:nvSpPr>
        <xdr:cNvPr id="32874" name="Line 106"/>
        <xdr:cNvSpPr>
          <a:spLocks noChangeShapeType="1"/>
        </xdr:cNvSpPr>
      </xdr:nvSpPr>
      <xdr:spPr bwMode="auto">
        <a:xfrm>
          <a:off x="5943600" y="3581400"/>
          <a:ext cx="14954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00" mc:Ignorable="a14" a14:legacySpreadsheetColorIndex="6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228600</xdr:colOff>
      <xdr:row>20</xdr:row>
      <xdr:rowOff>142875</xdr:rowOff>
    </xdr:from>
    <xdr:to>
      <xdr:col>11</xdr:col>
      <xdr:colOff>228600</xdr:colOff>
      <xdr:row>21</xdr:row>
      <xdr:rowOff>19050</xdr:rowOff>
    </xdr:to>
    <xdr:sp macro="" textlink="">
      <xdr:nvSpPr>
        <xdr:cNvPr id="32876" name="Line 108"/>
        <xdr:cNvSpPr>
          <a:spLocks noChangeShapeType="1"/>
        </xdr:cNvSpPr>
      </xdr:nvSpPr>
      <xdr:spPr bwMode="auto">
        <a:xfrm flipV="1">
          <a:off x="6886575" y="3600450"/>
          <a:ext cx="0" cy="476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993300" mc:Ignorable="a14" a14:legacySpreadsheetColorIndex="6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247650</xdr:colOff>
      <xdr:row>20</xdr:row>
      <xdr:rowOff>161925</xdr:rowOff>
    </xdr:from>
    <xdr:to>
      <xdr:col>12</xdr:col>
      <xdr:colOff>161925</xdr:colOff>
      <xdr:row>20</xdr:row>
      <xdr:rowOff>161925</xdr:rowOff>
    </xdr:to>
    <xdr:sp macro="" textlink="">
      <xdr:nvSpPr>
        <xdr:cNvPr id="32877" name="Line 109"/>
        <xdr:cNvSpPr>
          <a:spLocks noChangeShapeType="1"/>
        </xdr:cNvSpPr>
      </xdr:nvSpPr>
      <xdr:spPr bwMode="auto">
        <a:xfrm>
          <a:off x="6905625" y="3619500"/>
          <a:ext cx="5238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00" mc:Ignorable="a14" a14:legacySpreadsheetColorIndex="6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495300</xdr:colOff>
      <xdr:row>22</xdr:row>
      <xdr:rowOff>95250</xdr:rowOff>
    </xdr:from>
    <xdr:to>
      <xdr:col>12</xdr:col>
      <xdr:colOff>171450</xdr:colOff>
      <xdr:row>22</xdr:row>
      <xdr:rowOff>95250</xdr:rowOff>
    </xdr:to>
    <xdr:sp macro="" textlink="">
      <xdr:nvSpPr>
        <xdr:cNvPr id="32878" name="Line 110"/>
        <xdr:cNvSpPr>
          <a:spLocks noChangeShapeType="1"/>
        </xdr:cNvSpPr>
      </xdr:nvSpPr>
      <xdr:spPr bwMode="auto">
        <a:xfrm>
          <a:off x="7153275" y="3895725"/>
          <a:ext cx="2857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00" mc:Ignorable="a14" a14:legacySpreadsheetColorIndex="6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114300</xdr:colOff>
      <xdr:row>15</xdr:row>
      <xdr:rowOff>104775</xdr:rowOff>
    </xdr:from>
    <xdr:to>
      <xdr:col>12</xdr:col>
      <xdr:colOff>114300</xdr:colOff>
      <xdr:row>22</xdr:row>
      <xdr:rowOff>161925</xdr:rowOff>
    </xdr:to>
    <xdr:sp macro="" textlink="">
      <xdr:nvSpPr>
        <xdr:cNvPr id="32879" name="Line 111"/>
        <xdr:cNvSpPr>
          <a:spLocks noChangeShapeType="1"/>
        </xdr:cNvSpPr>
      </xdr:nvSpPr>
      <xdr:spPr bwMode="auto">
        <a:xfrm flipV="1">
          <a:off x="7381875" y="2676525"/>
          <a:ext cx="0" cy="12858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28575</xdr:colOff>
      <xdr:row>18</xdr:row>
      <xdr:rowOff>28575</xdr:rowOff>
    </xdr:from>
    <xdr:to>
      <xdr:col>12</xdr:col>
      <xdr:colOff>28575</xdr:colOff>
      <xdr:row>19</xdr:row>
      <xdr:rowOff>9525</xdr:rowOff>
    </xdr:to>
    <xdr:sp macro="" textlink="">
      <xdr:nvSpPr>
        <xdr:cNvPr id="32880" name="Line 112"/>
        <xdr:cNvSpPr>
          <a:spLocks noChangeShapeType="1"/>
        </xdr:cNvSpPr>
      </xdr:nvSpPr>
      <xdr:spPr bwMode="auto">
        <a:xfrm>
          <a:off x="7296150" y="3143250"/>
          <a:ext cx="0" cy="15240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552450</xdr:colOff>
      <xdr:row>19</xdr:row>
      <xdr:rowOff>9525</xdr:rowOff>
    </xdr:from>
    <xdr:to>
      <xdr:col>12</xdr:col>
      <xdr:colOff>38100</xdr:colOff>
      <xdr:row>19</xdr:row>
      <xdr:rowOff>9525</xdr:rowOff>
    </xdr:to>
    <xdr:sp macro="" textlink="">
      <xdr:nvSpPr>
        <xdr:cNvPr id="32881" name="Line 113"/>
        <xdr:cNvSpPr>
          <a:spLocks noChangeShapeType="1"/>
        </xdr:cNvSpPr>
      </xdr:nvSpPr>
      <xdr:spPr bwMode="auto">
        <a:xfrm flipH="1">
          <a:off x="7210425" y="3295650"/>
          <a:ext cx="95250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285750</xdr:colOff>
      <xdr:row>18</xdr:row>
      <xdr:rowOff>123825</xdr:rowOff>
    </xdr:from>
    <xdr:to>
      <xdr:col>12</xdr:col>
      <xdr:colOff>0</xdr:colOff>
      <xdr:row>18</xdr:row>
      <xdr:rowOff>123825</xdr:rowOff>
    </xdr:to>
    <xdr:sp macro="" textlink="">
      <xdr:nvSpPr>
        <xdr:cNvPr id="32882" name="Line 114"/>
        <xdr:cNvSpPr>
          <a:spLocks noChangeShapeType="1"/>
        </xdr:cNvSpPr>
      </xdr:nvSpPr>
      <xdr:spPr bwMode="auto">
        <a:xfrm flipH="1">
          <a:off x="6334125" y="3238500"/>
          <a:ext cx="9334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285750</xdr:colOff>
      <xdr:row>18</xdr:row>
      <xdr:rowOff>161925</xdr:rowOff>
    </xdr:from>
    <xdr:to>
      <xdr:col>11</xdr:col>
      <xdr:colOff>600075</xdr:colOff>
      <xdr:row>18</xdr:row>
      <xdr:rowOff>161925</xdr:rowOff>
    </xdr:to>
    <xdr:sp macro="" textlink="">
      <xdr:nvSpPr>
        <xdr:cNvPr id="32883" name="Line 115"/>
        <xdr:cNvSpPr>
          <a:spLocks noChangeShapeType="1"/>
        </xdr:cNvSpPr>
      </xdr:nvSpPr>
      <xdr:spPr bwMode="auto">
        <a:xfrm flipH="1">
          <a:off x="6334125" y="3276600"/>
          <a:ext cx="923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600075</xdr:colOff>
      <xdr:row>18</xdr:row>
      <xdr:rowOff>114300</xdr:rowOff>
    </xdr:from>
    <xdr:to>
      <xdr:col>11</xdr:col>
      <xdr:colOff>600075</xdr:colOff>
      <xdr:row>18</xdr:row>
      <xdr:rowOff>161925</xdr:rowOff>
    </xdr:to>
    <xdr:sp macro="" textlink="">
      <xdr:nvSpPr>
        <xdr:cNvPr id="32884" name="Line 116"/>
        <xdr:cNvSpPr>
          <a:spLocks noChangeShapeType="1"/>
        </xdr:cNvSpPr>
      </xdr:nvSpPr>
      <xdr:spPr bwMode="auto">
        <a:xfrm>
          <a:off x="7258050" y="3228975"/>
          <a:ext cx="0" cy="476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10</xdr:col>
      <xdr:colOff>219075</xdr:colOff>
      <xdr:row>19</xdr:row>
      <xdr:rowOff>85725</xdr:rowOff>
    </xdr:from>
    <xdr:ext cx="457200" cy="180975"/>
    <xdr:sp macro="" textlink="">
      <xdr:nvSpPr>
        <xdr:cNvPr id="32885" name="Text Box 117"/>
        <xdr:cNvSpPr txBox="1">
          <a:spLocks noChangeArrowheads="1"/>
        </xdr:cNvSpPr>
      </xdr:nvSpPr>
      <xdr:spPr bwMode="auto">
        <a:xfrm>
          <a:off x="6267450" y="3371850"/>
          <a:ext cx="457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C8x11.5</a:t>
          </a:r>
        </a:p>
      </xdr:txBody>
    </xdr:sp>
    <xdr:clientData/>
  </xdr:oneCellAnchor>
  <xdr:oneCellAnchor>
    <xdr:from>
      <xdr:col>10</xdr:col>
      <xdr:colOff>333375</xdr:colOff>
      <xdr:row>22</xdr:row>
      <xdr:rowOff>28575</xdr:rowOff>
    </xdr:from>
    <xdr:ext cx="457200" cy="180975"/>
    <xdr:sp macro="" textlink="">
      <xdr:nvSpPr>
        <xdr:cNvPr id="32886" name="Text Box 118"/>
        <xdr:cNvSpPr txBox="1">
          <a:spLocks noChangeArrowheads="1"/>
        </xdr:cNvSpPr>
      </xdr:nvSpPr>
      <xdr:spPr bwMode="auto">
        <a:xfrm>
          <a:off x="6381750" y="3829050"/>
          <a:ext cx="457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C8x11.5</a:t>
          </a:r>
        </a:p>
      </xdr:txBody>
    </xdr:sp>
    <xdr:clientData/>
  </xdr:oneCellAnchor>
  <xdr:twoCellAnchor>
    <xdr:from>
      <xdr:col>11</xdr:col>
      <xdr:colOff>152400</xdr:colOff>
      <xdr:row>22</xdr:row>
      <xdr:rowOff>9525</xdr:rowOff>
    </xdr:from>
    <xdr:to>
      <xdr:col>11</xdr:col>
      <xdr:colOff>390525</xdr:colOff>
      <xdr:row>22</xdr:row>
      <xdr:rowOff>95250</xdr:rowOff>
    </xdr:to>
    <xdr:sp macro="" textlink="">
      <xdr:nvSpPr>
        <xdr:cNvPr id="32887" name="Line 119"/>
        <xdr:cNvSpPr>
          <a:spLocks noChangeShapeType="1"/>
        </xdr:cNvSpPr>
      </xdr:nvSpPr>
      <xdr:spPr bwMode="auto">
        <a:xfrm flipH="1">
          <a:off x="6810375" y="3810000"/>
          <a:ext cx="238125" cy="857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66675</xdr:colOff>
      <xdr:row>19</xdr:row>
      <xdr:rowOff>104775</xdr:rowOff>
    </xdr:from>
    <xdr:to>
      <xdr:col>21</xdr:col>
      <xdr:colOff>466725</xdr:colOff>
      <xdr:row>19</xdr:row>
      <xdr:rowOff>104775</xdr:rowOff>
    </xdr:to>
    <xdr:sp macro="" textlink="">
      <xdr:nvSpPr>
        <xdr:cNvPr id="32888" name="Line 120"/>
        <xdr:cNvSpPr>
          <a:spLocks noChangeShapeType="1"/>
        </xdr:cNvSpPr>
      </xdr:nvSpPr>
      <xdr:spPr bwMode="auto">
        <a:xfrm>
          <a:off x="7334250" y="3390900"/>
          <a:ext cx="16192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66675</xdr:colOff>
      <xdr:row>20</xdr:row>
      <xdr:rowOff>66675</xdr:rowOff>
    </xdr:from>
    <xdr:to>
      <xdr:col>13</xdr:col>
      <xdr:colOff>38100</xdr:colOff>
      <xdr:row>20</xdr:row>
      <xdr:rowOff>66675</xdr:rowOff>
    </xdr:to>
    <xdr:sp macro="" textlink="">
      <xdr:nvSpPr>
        <xdr:cNvPr id="32889" name="Line 121"/>
        <xdr:cNvSpPr>
          <a:spLocks noChangeShapeType="1"/>
        </xdr:cNvSpPr>
      </xdr:nvSpPr>
      <xdr:spPr bwMode="auto">
        <a:xfrm>
          <a:off x="7334250" y="3524250"/>
          <a:ext cx="5810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333375</xdr:colOff>
      <xdr:row>19</xdr:row>
      <xdr:rowOff>19050</xdr:rowOff>
    </xdr:from>
    <xdr:to>
      <xdr:col>13</xdr:col>
      <xdr:colOff>190500</xdr:colOff>
      <xdr:row>19</xdr:row>
      <xdr:rowOff>19050</xdr:rowOff>
    </xdr:to>
    <xdr:sp macro="" textlink="">
      <xdr:nvSpPr>
        <xdr:cNvPr id="32890" name="Line 122"/>
        <xdr:cNvSpPr>
          <a:spLocks noChangeShapeType="1"/>
        </xdr:cNvSpPr>
      </xdr:nvSpPr>
      <xdr:spPr bwMode="auto">
        <a:xfrm>
          <a:off x="7600950" y="3305175"/>
          <a:ext cx="466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514350</xdr:colOff>
      <xdr:row>22</xdr:row>
      <xdr:rowOff>171450</xdr:rowOff>
    </xdr:from>
    <xdr:to>
      <xdr:col>11</xdr:col>
      <xdr:colOff>514350</xdr:colOff>
      <xdr:row>25</xdr:row>
      <xdr:rowOff>47625</xdr:rowOff>
    </xdr:to>
    <xdr:sp macro="" textlink="">
      <xdr:nvSpPr>
        <xdr:cNvPr id="32891" name="Line 123"/>
        <xdr:cNvSpPr>
          <a:spLocks noChangeShapeType="1"/>
        </xdr:cNvSpPr>
      </xdr:nvSpPr>
      <xdr:spPr bwMode="auto">
        <a:xfrm>
          <a:off x="7172325" y="3971925"/>
          <a:ext cx="0" cy="4191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180975</xdr:colOff>
      <xdr:row>22</xdr:row>
      <xdr:rowOff>171450</xdr:rowOff>
    </xdr:from>
    <xdr:to>
      <xdr:col>12</xdr:col>
      <xdr:colOff>180975</xdr:colOff>
      <xdr:row>25</xdr:row>
      <xdr:rowOff>47625</xdr:rowOff>
    </xdr:to>
    <xdr:sp macro="" textlink="">
      <xdr:nvSpPr>
        <xdr:cNvPr id="32892" name="Line 124"/>
        <xdr:cNvSpPr>
          <a:spLocks noChangeShapeType="1"/>
        </xdr:cNvSpPr>
      </xdr:nvSpPr>
      <xdr:spPr bwMode="auto">
        <a:xfrm>
          <a:off x="7448550" y="3971925"/>
          <a:ext cx="0" cy="4191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228600</xdr:colOff>
      <xdr:row>21</xdr:row>
      <xdr:rowOff>66675</xdr:rowOff>
    </xdr:from>
    <xdr:to>
      <xdr:col>11</xdr:col>
      <xdr:colOff>228600</xdr:colOff>
      <xdr:row>25</xdr:row>
      <xdr:rowOff>28575</xdr:rowOff>
    </xdr:to>
    <xdr:sp macro="" textlink="">
      <xdr:nvSpPr>
        <xdr:cNvPr id="32893" name="Line 125"/>
        <xdr:cNvSpPr>
          <a:spLocks noChangeShapeType="1"/>
        </xdr:cNvSpPr>
      </xdr:nvSpPr>
      <xdr:spPr bwMode="auto">
        <a:xfrm>
          <a:off x="6886575" y="3695700"/>
          <a:ext cx="0" cy="6762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219075</xdr:colOff>
      <xdr:row>25</xdr:row>
      <xdr:rowOff>0</xdr:rowOff>
    </xdr:from>
    <xdr:to>
      <xdr:col>11</xdr:col>
      <xdr:colOff>504825</xdr:colOff>
      <xdr:row>25</xdr:row>
      <xdr:rowOff>9525</xdr:rowOff>
    </xdr:to>
    <xdr:sp macro="" textlink="">
      <xdr:nvSpPr>
        <xdr:cNvPr id="32894" name="Line 126"/>
        <xdr:cNvSpPr>
          <a:spLocks noChangeShapeType="1"/>
        </xdr:cNvSpPr>
      </xdr:nvSpPr>
      <xdr:spPr bwMode="auto">
        <a:xfrm flipV="1">
          <a:off x="6877050" y="4343400"/>
          <a:ext cx="285750" cy="9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10</xdr:col>
      <xdr:colOff>342900</xdr:colOff>
      <xdr:row>26</xdr:row>
      <xdr:rowOff>0</xdr:rowOff>
    </xdr:from>
    <xdr:ext cx="400050" cy="323850"/>
    <xdr:sp macro="" textlink="">
      <xdr:nvSpPr>
        <xdr:cNvPr id="32895" name="Text Box 127"/>
        <xdr:cNvSpPr txBox="1">
          <a:spLocks noChangeArrowheads="1"/>
        </xdr:cNvSpPr>
      </xdr:nvSpPr>
      <xdr:spPr bwMode="auto">
        <a:xfrm>
          <a:off x="6391275" y="4524375"/>
          <a:ext cx="4000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18288" bIns="0" anchor="t" upright="1">
          <a:spAutoFit/>
        </a:bodyPr>
        <a:lstStyle/>
        <a:p>
          <a:pPr algn="ctr" rtl="0">
            <a:defRPr sz="1000"/>
          </a:pPr>
          <a:r>
            <a:rPr lang="en-US" sz="800" b="0" i="0" u="none" strike="noStrike" baseline="0">
              <a:solidFill>
                <a:srgbClr val="0000FF"/>
              </a:solidFill>
              <a:latin typeface="Arial"/>
              <a:cs typeface="Arial"/>
            </a:rPr>
            <a:t>8"</a:t>
          </a: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800" b="0" i="0" u="none" strike="noStrike" baseline="0">
              <a:solidFill>
                <a:srgbClr val="FF0000"/>
              </a:solidFill>
              <a:latin typeface="Arial"/>
              <a:cs typeface="Arial"/>
            </a:rPr>
            <a:t>200mm</a:t>
          </a:r>
        </a:p>
      </xdr:txBody>
    </xdr:sp>
    <xdr:clientData/>
  </xdr:oneCellAnchor>
  <xdr:twoCellAnchor>
    <xdr:from>
      <xdr:col>11</xdr:col>
      <xdr:colOff>523875</xdr:colOff>
      <xdr:row>24</xdr:row>
      <xdr:rowOff>171450</xdr:rowOff>
    </xdr:from>
    <xdr:to>
      <xdr:col>12</xdr:col>
      <xdr:colOff>200025</xdr:colOff>
      <xdr:row>25</xdr:row>
      <xdr:rowOff>0</xdr:rowOff>
    </xdr:to>
    <xdr:sp macro="" textlink="">
      <xdr:nvSpPr>
        <xdr:cNvPr id="32896" name="Line 128"/>
        <xdr:cNvSpPr>
          <a:spLocks noChangeShapeType="1"/>
        </xdr:cNvSpPr>
      </xdr:nvSpPr>
      <xdr:spPr bwMode="auto">
        <a:xfrm flipV="1">
          <a:off x="7181850" y="4333875"/>
          <a:ext cx="285750" cy="9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238125</xdr:colOff>
      <xdr:row>25</xdr:row>
      <xdr:rowOff>0</xdr:rowOff>
    </xdr:from>
    <xdr:to>
      <xdr:col>11</xdr:col>
      <xdr:colOff>361950</xdr:colOff>
      <xdr:row>26</xdr:row>
      <xdr:rowOff>95250</xdr:rowOff>
    </xdr:to>
    <xdr:sp macro="" textlink="">
      <xdr:nvSpPr>
        <xdr:cNvPr id="32897" name="Line 129"/>
        <xdr:cNvSpPr>
          <a:spLocks noChangeShapeType="1"/>
        </xdr:cNvSpPr>
      </xdr:nvSpPr>
      <xdr:spPr bwMode="auto">
        <a:xfrm flipH="1">
          <a:off x="6896100" y="4343400"/>
          <a:ext cx="123825" cy="2762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19050</xdr:colOff>
      <xdr:row>26</xdr:row>
      <xdr:rowOff>95250</xdr:rowOff>
    </xdr:from>
    <xdr:to>
      <xdr:col>11</xdr:col>
      <xdr:colOff>238125</xdr:colOff>
      <xdr:row>26</xdr:row>
      <xdr:rowOff>95250</xdr:rowOff>
    </xdr:to>
    <xdr:sp macro="" textlink="">
      <xdr:nvSpPr>
        <xdr:cNvPr id="32898" name="Line 130"/>
        <xdr:cNvSpPr>
          <a:spLocks noChangeShapeType="1"/>
        </xdr:cNvSpPr>
      </xdr:nvSpPr>
      <xdr:spPr bwMode="auto">
        <a:xfrm flipH="1">
          <a:off x="6677025" y="4619625"/>
          <a:ext cx="2190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571500</xdr:colOff>
      <xdr:row>28</xdr:row>
      <xdr:rowOff>19050</xdr:rowOff>
    </xdr:from>
    <xdr:ext cx="2066925" cy="200025"/>
    <xdr:sp macro="" textlink="">
      <xdr:nvSpPr>
        <xdr:cNvPr id="32899" name="Text Box 131"/>
        <xdr:cNvSpPr txBox="1">
          <a:spLocks noChangeArrowheads="1"/>
        </xdr:cNvSpPr>
      </xdr:nvSpPr>
      <xdr:spPr bwMode="auto">
        <a:xfrm>
          <a:off x="6010275" y="4905375"/>
          <a:ext cx="20669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1" i="0" u="sng" strike="noStrike" baseline="0">
              <a:solidFill>
                <a:srgbClr val="000000"/>
              </a:solidFill>
              <a:latin typeface="Arial"/>
              <a:cs typeface="Arial"/>
            </a:rPr>
            <a:t>Typical Hot Vessel Bracket Detail</a:t>
          </a:r>
        </a:p>
      </xdr:txBody>
    </xdr:sp>
    <xdr:clientData/>
  </xdr:oneCellAnchor>
  <xdr:twoCellAnchor>
    <xdr:from>
      <xdr:col>12</xdr:col>
      <xdr:colOff>76200</xdr:colOff>
      <xdr:row>21</xdr:row>
      <xdr:rowOff>47625</xdr:rowOff>
    </xdr:from>
    <xdr:to>
      <xdr:col>13</xdr:col>
      <xdr:colOff>47625</xdr:colOff>
      <xdr:row>21</xdr:row>
      <xdr:rowOff>47625</xdr:rowOff>
    </xdr:to>
    <xdr:sp macro="" textlink="">
      <xdr:nvSpPr>
        <xdr:cNvPr id="32900" name="Line 132"/>
        <xdr:cNvSpPr>
          <a:spLocks noChangeShapeType="1"/>
        </xdr:cNvSpPr>
      </xdr:nvSpPr>
      <xdr:spPr bwMode="auto">
        <a:xfrm>
          <a:off x="7343775" y="3676650"/>
          <a:ext cx="5810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66675</xdr:colOff>
      <xdr:row>22</xdr:row>
      <xdr:rowOff>57150</xdr:rowOff>
    </xdr:from>
    <xdr:to>
      <xdr:col>13</xdr:col>
      <xdr:colOff>38100</xdr:colOff>
      <xdr:row>22</xdr:row>
      <xdr:rowOff>57150</xdr:rowOff>
    </xdr:to>
    <xdr:sp macro="" textlink="">
      <xdr:nvSpPr>
        <xdr:cNvPr id="32901" name="Line 133"/>
        <xdr:cNvSpPr>
          <a:spLocks noChangeShapeType="1"/>
        </xdr:cNvSpPr>
      </xdr:nvSpPr>
      <xdr:spPr bwMode="auto">
        <a:xfrm>
          <a:off x="7334250" y="3857625"/>
          <a:ext cx="5810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38100</xdr:colOff>
      <xdr:row>19</xdr:row>
      <xdr:rowOff>28575</xdr:rowOff>
    </xdr:from>
    <xdr:to>
      <xdr:col>12</xdr:col>
      <xdr:colOff>38100</xdr:colOff>
      <xdr:row>22</xdr:row>
      <xdr:rowOff>123825</xdr:rowOff>
    </xdr:to>
    <xdr:sp macro="" textlink="">
      <xdr:nvSpPr>
        <xdr:cNvPr id="32902" name="Line 134"/>
        <xdr:cNvSpPr>
          <a:spLocks noChangeShapeType="1"/>
        </xdr:cNvSpPr>
      </xdr:nvSpPr>
      <xdr:spPr bwMode="auto">
        <a:xfrm>
          <a:off x="7305675" y="3314700"/>
          <a:ext cx="0" cy="609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200025</xdr:colOff>
      <xdr:row>19</xdr:row>
      <xdr:rowOff>28575</xdr:rowOff>
    </xdr:from>
    <xdr:to>
      <xdr:col>12</xdr:col>
      <xdr:colOff>304800</xdr:colOff>
      <xdr:row>19</xdr:row>
      <xdr:rowOff>28575</xdr:rowOff>
    </xdr:to>
    <xdr:sp macro="" textlink="">
      <xdr:nvSpPr>
        <xdr:cNvPr id="32904" name="Line 136"/>
        <xdr:cNvSpPr>
          <a:spLocks noChangeShapeType="1"/>
        </xdr:cNvSpPr>
      </xdr:nvSpPr>
      <xdr:spPr bwMode="auto">
        <a:xfrm>
          <a:off x="7467600" y="3314700"/>
          <a:ext cx="1047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304800</xdr:colOff>
      <xdr:row>17</xdr:row>
      <xdr:rowOff>161925</xdr:rowOff>
    </xdr:from>
    <xdr:to>
      <xdr:col>12</xdr:col>
      <xdr:colOff>304800</xdr:colOff>
      <xdr:row>24</xdr:row>
      <xdr:rowOff>19050</xdr:rowOff>
    </xdr:to>
    <xdr:sp macro="" textlink="">
      <xdr:nvSpPr>
        <xdr:cNvPr id="32905" name="Line 137"/>
        <xdr:cNvSpPr>
          <a:spLocks noChangeShapeType="1"/>
        </xdr:cNvSpPr>
      </xdr:nvSpPr>
      <xdr:spPr bwMode="auto">
        <a:xfrm>
          <a:off x="7572375" y="3095625"/>
          <a:ext cx="0" cy="1085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lgDash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200025</xdr:colOff>
      <xdr:row>22</xdr:row>
      <xdr:rowOff>123825</xdr:rowOff>
    </xdr:from>
    <xdr:to>
      <xdr:col>12</xdr:col>
      <xdr:colOff>304800</xdr:colOff>
      <xdr:row>22</xdr:row>
      <xdr:rowOff>123825</xdr:rowOff>
    </xdr:to>
    <xdr:sp macro="" textlink="">
      <xdr:nvSpPr>
        <xdr:cNvPr id="32906" name="Line 138"/>
        <xdr:cNvSpPr>
          <a:spLocks noChangeShapeType="1"/>
        </xdr:cNvSpPr>
      </xdr:nvSpPr>
      <xdr:spPr bwMode="auto">
        <a:xfrm>
          <a:off x="7467600" y="3924300"/>
          <a:ext cx="1047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285750</xdr:colOff>
      <xdr:row>19</xdr:row>
      <xdr:rowOff>28575</xdr:rowOff>
    </xdr:from>
    <xdr:to>
      <xdr:col>12</xdr:col>
      <xdr:colOff>285750</xdr:colOff>
      <xdr:row>22</xdr:row>
      <xdr:rowOff>123825</xdr:rowOff>
    </xdr:to>
    <xdr:sp macro="" textlink="">
      <xdr:nvSpPr>
        <xdr:cNvPr id="32907" name="Line 139"/>
        <xdr:cNvSpPr>
          <a:spLocks noChangeShapeType="1"/>
        </xdr:cNvSpPr>
      </xdr:nvSpPr>
      <xdr:spPr bwMode="auto">
        <a:xfrm>
          <a:off x="7553325" y="3314700"/>
          <a:ext cx="0" cy="609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85725</xdr:colOff>
      <xdr:row>19</xdr:row>
      <xdr:rowOff>85725</xdr:rowOff>
    </xdr:from>
    <xdr:to>
      <xdr:col>12</xdr:col>
      <xdr:colOff>133350</xdr:colOff>
      <xdr:row>19</xdr:row>
      <xdr:rowOff>123825</xdr:rowOff>
    </xdr:to>
    <xdr:sp macro="" textlink="">
      <xdr:nvSpPr>
        <xdr:cNvPr id="32908" name="Oval 140"/>
        <xdr:cNvSpPr>
          <a:spLocks noChangeArrowheads="1"/>
        </xdr:cNvSpPr>
      </xdr:nvSpPr>
      <xdr:spPr bwMode="auto">
        <a:xfrm>
          <a:off x="7353300" y="3371850"/>
          <a:ext cx="47625" cy="381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8575">
          <a:solidFill>
            <a:srgbClr xmlns:mc="http://schemas.openxmlformats.org/markup-compatibility/2006" xmlns:a14="http://schemas.microsoft.com/office/drawing/2010/main" val="993300" mc:Ignorable="a14" a14:legacySpreadsheetColorIndex="60"/>
          </a:solidFill>
          <a:round/>
          <a:headEnd/>
          <a:tailEnd/>
        </a:ln>
      </xdr:spPr>
    </xdr:sp>
    <xdr:clientData/>
  </xdr:twoCellAnchor>
  <xdr:twoCellAnchor>
    <xdr:from>
      <xdr:col>12</xdr:col>
      <xdr:colOff>85725</xdr:colOff>
      <xdr:row>20</xdr:row>
      <xdr:rowOff>47625</xdr:rowOff>
    </xdr:from>
    <xdr:to>
      <xdr:col>12</xdr:col>
      <xdr:colOff>133350</xdr:colOff>
      <xdr:row>20</xdr:row>
      <xdr:rowOff>85725</xdr:rowOff>
    </xdr:to>
    <xdr:sp macro="" textlink="">
      <xdr:nvSpPr>
        <xdr:cNvPr id="32909" name="Oval 141"/>
        <xdr:cNvSpPr>
          <a:spLocks noChangeArrowheads="1"/>
        </xdr:cNvSpPr>
      </xdr:nvSpPr>
      <xdr:spPr bwMode="auto">
        <a:xfrm>
          <a:off x="7353300" y="3505200"/>
          <a:ext cx="47625" cy="381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8575">
          <a:solidFill>
            <a:srgbClr xmlns:mc="http://schemas.openxmlformats.org/markup-compatibility/2006" xmlns:a14="http://schemas.microsoft.com/office/drawing/2010/main" val="993300" mc:Ignorable="a14" a14:legacySpreadsheetColorIndex="60"/>
          </a:solidFill>
          <a:round/>
          <a:headEnd/>
          <a:tailEnd/>
        </a:ln>
      </xdr:spPr>
    </xdr:sp>
    <xdr:clientData/>
  </xdr:twoCellAnchor>
  <xdr:twoCellAnchor>
    <xdr:from>
      <xdr:col>12</xdr:col>
      <xdr:colOff>85725</xdr:colOff>
      <xdr:row>21</xdr:row>
      <xdr:rowOff>28575</xdr:rowOff>
    </xdr:from>
    <xdr:to>
      <xdr:col>12</xdr:col>
      <xdr:colOff>133350</xdr:colOff>
      <xdr:row>21</xdr:row>
      <xdr:rowOff>66675</xdr:rowOff>
    </xdr:to>
    <xdr:sp macro="" textlink="">
      <xdr:nvSpPr>
        <xdr:cNvPr id="32910" name="Oval 142"/>
        <xdr:cNvSpPr>
          <a:spLocks noChangeArrowheads="1"/>
        </xdr:cNvSpPr>
      </xdr:nvSpPr>
      <xdr:spPr bwMode="auto">
        <a:xfrm>
          <a:off x="7353300" y="3657600"/>
          <a:ext cx="47625" cy="381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8575">
          <a:solidFill>
            <a:srgbClr xmlns:mc="http://schemas.openxmlformats.org/markup-compatibility/2006" xmlns:a14="http://schemas.microsoft.com/office/drawing/2010/main" val="993300" mc:Ignorable="a14" a14:legacySpreadsheetColorIndex="60"/>
          </a:solidFill>
          <a:round/>
          <a:headEnd/>
          <a:tailEnd/>
        </a:ln>
      </xdr:spPr>
    </xdr:sp>
    <xdr:clientData/>
  </xdr:twoCellAnchor>
  <xdr:twoCellAnchor>
    <xdr:from>
      <xdr:col>12</xdr:col>
      <xdr:colOff>85725</xdr:colOff>
      <xdr:row>22</xdr:row>
      <xdr:rowOff>38100</xdr:rowOff>
    </xdr:from>
    <xdr:to>
      <xdr:col>12</xdr:col>
      <xdr:colOff>133350</xdr:colOff>
      <xdr:row>22</xdr:row>
      <xdr:rowOff>76200</xdr:rowOff>
    </xdr:to>
    <xdr:sp macro="" textlink="">
      <xdr:nvSpPr>
        <xdr:cNvPr id="32911" name="Oval 143"/>
        <xdr:cNvSpPr>
          <a:spLocks noChangeArrowheads="1"/>
        </xdr:cNvSpPr>
      </xdr:nvSpPr>
      <xdr:spPr bwMode="auto">
        <a:xfrm>
          <a:off x="7353300" y="3838575"/>
          <a:ext cx="47625" cy="381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8575">
          <a:solidFill>
            <a:srgbClr xmlns:mc="http://schemas.openxmlformats.org/markup-compatibility/2006" xmlns:a14="http://schemas.microsoft.com/office/drawing/2010/main" val="993300" mc:Ignorable="a14" a14:legacySpreadsheetColorIndex="60"/>
          </a:solidFill>
          <a:round/>
          <a:headEnd/>
          <a:tailEnd/>
        </a:ln>
      </xdr:spPr>
    </xdr:sp>
    <xdr:clientData/>
  </xdr:twoCellAnchor>
  <xdr:oneCellAnchor>
    <xdr:from>
      <xdr:col>12</xdr:col>
      <xdr:colOff>171450</xdr:colOff>
      <xdr:row>25</xdr:row>
      <xdr:rowOff>85725</xdr:rowOff>
    </xdr:from>
    <xdr:ext cx="400050" cy="323850"/>
    <xdr:sp macro="" textlink="">
      <xdr:nvSpPr>
        <xdr:cNvPr id="32912" name="Text Box 144"/>
        <xdr:cNvSpPr txBox="1">
          <a:spLocks noChangeArrowheads="1"/>
        </xdr:cNvSpPr>
      </xdr:nvSpPr>
      <xdr:spPr bwMode="auto">
        <a:xfrm>
          <a:off x="7439025" y="4429125"/>
          <a:ext cx="4000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18288" bIns="0" anchor="t" upright="1">
          <a:spAutoFit/>
        </a:bodyPr>
        <a:lstStyle/>
        <a:p>
          <a:pPr algn="ctr" rtl="0">
            <a:defRPr sz="1000"/>
          </a:pPr>
          <a:r>
            <a:rPr lang="en-US" sz="800" b="0" i="0" u="none" strike="noStrike" baseline="0">
              <a:solidFill>
                <a:srgbClr val="0000FF"/>
              </a:solidFill>
              <a:latin typeface="Arial"/>
              <a:cs typeface="Arial"/>
            </a:rPr>
            <a:t>4"</a:t>
          </a: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800" b="0" i="0" u="none" strike="noStrike" baseline="0">
              <a:solidFill>
                <a:srgbClr val="FF0000"/>
              </a:solidFill>
              <a:latin typeface="Arial"/>
              <a:cs typeface="Arial"/>
            </a:rPr>
            <a:t>100mm</a:t>
          </a:r>
        </a:p>
      </xdr:txBody>
    </xdr:sp>
    <xdr:clientData/>
  </xdr:oneCellAnchor>
  <xdr:twoCellAnchor>
    <xdr:from>
      <xdr:col>12</xdr:col>
      <xdr:colOff>47625</xdr:colOff>
      <xdr:row>25</xdr:row>
      <xdr:rowOff>0</xdr:rowOff>
    </xdr:from>
    <xdr:to>
      <xdr:col>12</xdr:col>
      <xdr:colOff>200025</xdr:colOff>
      <xdr:row>25</xdr:row>
      <xdr:rowOff>171450</xdr:rowOff>
    </xdr:to>
    <xdr:sp macro="" textlink="">
      <xdr:nvSpPr>
        <xdr:cNvPr id="32914" name="Line 146"/>
        <xdr:cNvSpPr>
          <a:spLocks noChangeShapeType="1"/>
        </xdr:cNvSpPr>
      </xdr:nvSpPr>
      <xdr:spPr bwMode="auto">
        <a:xfrm>
          <a:off x="7315200" y="4343400"/>
          <a:ext cx="152400" cy="1714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190500</xdr:colOff>
      <xdr:row>25</xdr:row>
      <xdr:rowOff>171450</xdr:rowOff>
    </xdr:from>
    <xdr:to>
      <xdr:col>12</xdr:col>
      <xdr:colOff>285750</xdr:colOff>
      <xdr:row>25</xdr:row>
      <xdr:rowOff>171450</xdr:rowOff>
    </xdr:to>
    <xdr:sp macro="" textlink="">
      <xdr:nvSpPr>
        <xdr:cNvPr id="32915" name="Line 147"/>
        <xdr:cNvSpPr>
          <a:spLocks noChangeShapeType="1"/>
        </xdr:cNvSpPr>
      </xdr:nvSpPr>
      <xdr:spPr bwMode="auto">
        <a:xfrm>
          <a:off x="7458075" y="4514850"/>
          <a:ext cx="952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13</xdr:col>
      <xdr:colOff>85725</xdr:colOff>
      <xdr:row>19</xdr:row>
      <xdr:rowOff>104775</xdr:rowOff>
    </xdr:from>
    <xdr:ext cx="647700" cy="180975"/>
    <xdr:sp macro="" textlink="">
      <xdr:nvSpPr>
        <xdr:cNvPr id="32916" name="Text Box 148"/>
        <xdr:cNvSpPr txBox="1">
          <a:spLocks noChangeArrowheads="1"/>
        </xdr:cNvSpPr>
      </xdr:nvSpPr>
      <xdr:spPr bwMode="auto">
        <a:xfrm>
          <a:off x="7962900" y="3390900"/>
          <a:ext cx="6477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FF"/>
              </a:solidFill>
              <a:latin typeface="Arial"/>
              <a:cs typeface="Arial"/>
            </a:rPr>
            <a:t>3-1/2"</a:t>
          </a: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800" b="0" i="0" u="none" strike="noStrike" baseline="0">
              <a:solidFill>
                <a:srgbClr val="FF0000"/>
              </a:solidFill>
              <a:latin typeface="Arial"/>
              <a:cs typeface="Arial"/>
            </a:rPr>
            <a:t>89mm</a:t>
          </a:r>
        </a:p>
      </xdr:txBody>
    </xdr:sp>
    <xdr:clientData/>
  </xdr:oneCellAnchor>
  <xdr:twoCellAnchor>
    <xdr:from>
      <xdr:col>12</xdr:col>
      <xdr:colOff>600075</xdr:colOff>
      <xdr:row>19</xdr:row>
      <xdr:rowOff>28575</xdr:rowOff>
    </xdr:from>
    <xdr:to>
      <xdr:col>12</xdr:col>
      <xdr:colOff>600075</xdr:colOff>
      <xdr:row>22</xdr:row>
      <xdr:rowOff>66675</xdr:rowOff>
    </xdr:to>
    <xdr:sp macro="" textlink="">
      <xdr:nvSpPr>
        <xdr:cNvPr id="32917" name="Line 149"/>
        <xdr:cNvSpPr>
          <a:spLocks noChangeShapeType="1"/>
        </xdr:cNvSpPr>
      </xdr:nvSpPr>
      <xdr:spPr bwMode="auto">
        <a:xfrm>
          <a:off x="7867650" y="3314700"/>
          <a:ext cx="0" cy="5524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581025</xdr:colOff>
      <xdr:row>19</xdr:row>
      <xdr:rowOff>85725</xdr:rowOff>
    </xdr:from>
    <xdr:to>
      <xdr:col>13</xdr:col>
      <xdr:colOff>0</xdr:colOff>
      <xdr:row>19</xdr:row>
      <xdr:rowOff>114300</xdr:rowOff>
    </xdr:to>
    <xdr:sp macro="" textlink="">
      <xdr:nvSpPr>
        <xdr:cNvPr id="32918" name="Oval 150"/>
        <xdr:cNvSpPr>
          <a:spLocks noChangeArrowheads="1"/>
        </xdr:cNvSpPr>
      </xdr:nvSpPr>
      <xdr:spPr bwMode="auto">
        <a:xfrm>
          <a:off x="7848600" y="3371850"/>
          <a:ext cx="28575" cy="2857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12</xdr:col>
      <xdr:colOff>304800</xdr:colOff>
      <xdr:row>19</xdr:row>
      <xdr:rowOff>28575</xdr:rowOff>
    </xdr:from>
    <xdr:to>
      <xdr:col>12</xdr:col>
      <xdr:colOff>304800</xdr:colOff>
      <xdr:row>22</xdr:row>
      <xdr:rowOff>123825</xdr:rowOff>
    </xdr:to>
    <xdr:sp macro="" textlink="">
      <xdr:nvSpPr>
        <xdr:cNvPr id="32919" name="Line 151"/>
        <xdr:cNvSpPr>
          <a:spLocks noChangeShapeType="1"/>
        </xdr:cNvSpPr>
      </xdr:nvSpPr>
      <xdr:spPr bwMode="auto">
        <a:xfrm flipV="1">
          <a:off x="7572375" y="3314700"/>
          <a:ext cx="0" cy="609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581025</xdr:colOff>
      <xdr:row>20</xdr:row>
      <xdr:rowOff>57150</xdr:rowOff>
    </xdr:from>
    <xdr:to>
      <xdr:col>13</xdr:col>
      <xdr:colOff>0</xdr:colOff>
      <xdr:row>20</xdr:row>
      <xdr:rowOff>85725</xdr:rowOff>
    </xdr:to>
    <xdr:sp macro="" textlink="">
      <xdr:nvSpPr>
        <xdr:cNvPr id="32920" name="Oval 152"/>
        <xdr:cNvSpPr>
          <a:spLocks noChangeArrowheads="1"/>
        </xdr:cNvSpPr>
      </xdr:nvSpPr>
      <xdr:spPr bwMode="auto">
        <a:xfrm>
          <a:off x="7848600" y="3514725"/>
          <a:ext cx="28575" cy="2857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12</xdr:col>
      <xdr:colOff>581025</xdr:colOff>
      <xdr:row>21</xdr:row>
      <xdr:rowOff>28575</xdr:rowOff>
    </xdr:from>
    <xdr:to>
      <xdr:col>13</xdr:col>
      <xdr:colOff>0</xdr:colOff>
      <xdr:row>21</xdr:row>
      <xdr:rowOff>57150</xdr:rowOff>
    </xdr:to>
    <xdr:sp macro="" textlink="">
      <xdr:nvSpPr>
        <xdr:cNvPr id="32921" name="Oval 153"/>
        <xdr:cNvSpPr>
          <a:spLocks noChangeArrowheads="1"/>
        </xdr:cNvSpPr>
      </xdr:nvSpPr>
      <xdr:spPr bwMode="auto">
        <a:xfrm>
          <a:off x="7848600" y="3657600"/>
          <a:ext cx="28575" cy="2857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12</xdr:col>
      <xdr:colOff>581025</xdr:colOff>
      <xdr:row>22</xdr:row>
      <xdr:rowOff>47625</xdr:rowOff>
    </xdr:from>
    <xdr:to>
      <xdr:col>13</xdr:col>
      <xdr:colOff>0</xdr:colOff>
      <xdr:row>22</xdr:row>
      <xdr:rowOff>76200</xdr:rowOff>
    </xdr:to>
    <xdr:sp macro="" textlink="">
      <xdr:nvSpPr>
        <xdr:cNvPr id="32922" name="Oval 154"/>
        <xdr:cNvSpPr>
          <a:spLocks noChangeArrowheads="1"/>
        </xdr:cNvSpPr>
      </xdr:nvSpPr>
      <xdr:spPr bwMode="auto">
        <a:xfrm>
          <a:off x="7848600" y="3848100"/>
          <a:ext cx="28575" cy="2857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oneCellAnchor>
    <xdr:from>
      <xdr:col>13</xdr:col>
      <xdr:colOff>57150</xdr:colOff>
      <xdr:row>20</xdr:row>
      <xdr:rowOff>76200</xdr:rowOff>
    </xdr:from>
    <xdr:ext cx="523875" cy="180975"/>
    <xdr:sp macro="" textlink="">
      <xdr:nvSpPr>
        <xdr:cNvPr id="32923" name="Text Box 155"/>
        <xdr:cNvSpPr txBox="1">
          <a:spLocks noChangeArrowheads="1"/>
        </xdr:cNvSpPr>
      </xdr:nvSpPr>
      <xdr:spPr bwMode="auto">
        <a:xfrm>
          <a:off x="7934325" y="3533775"/>
          <a:ext cx="5238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FF"/>
              </a:solidFill>
              <a:latin typeface="Arial"/>
              <a:cs typeface="Arial"/>
            </a:rPr>
            <a:t>5"</a:t>
          </a: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800" b="0" i="0" u="none" strike="noStrike" baseline="0">
              <a:solidFill>
                <a:srgbClr val="FF0000"/>
              </a:solidFill>
              <a:latin typeface="Arial"/>
              <a:cs typeface="Arial"/>
            </a:rPr>
            <a:t>127mm</a:t>
          </a:r>
        </a:p>
      </xdr:txBody>
    </xdr:sp>
    <xdr:clientData/>
  </xdr:oneCellAnchor>
  <xdr:oneCellAnchor>
    <xdr:from>
      <xdr:col>13</xdr:col>
      <xdr:colOff>66675</xdr:colOff>
      <xdr:row>21</xdr:row>
      <xdr:rowOff>66675</xdr:rowOff>
    </xdr:from>
    <xdr:ext cx="647700" cy="180975"/>
    <xdr:sp macro="" textlink="">
      <xdr:nvSpPr>
        <xdr:cNvPr id="32924" name="Text Box 156"/>
        <xdr:cNvSpPr txBox="1">
          <a:spLocks noChangeArrowheads="1"/>
        </xdr:cNvSpPr>
      </xdr:nvSpPr>
      <xdr:spPr bwMode="auto">
        <a:xfrm>
          <a:off x="7943850" y="3695700"/>
          <a:ext cx="6477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FF"/>
              </a:solidFill>
              <a:latin typeface="Arial"/>
              <a:cs typeface="Arial"/>
            </a:rPr>
            <a:t>3-1/2"</a:t>
          </a: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800" b="0" i="0" u="none" strike="noStrike" baseline="0">
              <a:solidFill>
                <a:srgbClr val="FF0000"/>
              </a:solidFill>
              <a:latin typeface="Arial"/>
              <a:cs typeface="Arial"/>
            </a:rPr>
            <a:t>89mm</a:t>
          </a:r>
        </a:p>
      </xdr:txBody>
    </xdr:sp>
    <xdr:clientData/>
  </xdr:oneCellAnchor>
  <xdr:twoCellAnchor>
    <xdr:from>
      <xdr:col>12</xdr:col>
      <xdr:colOff>600075</xdr:colOff>
      <xdr:row>17</xdr:row>
      <xdr:rowOff>161925</xdr:rowOff>
    </xdr:from>
    <xdr:to>
      <xdr:col>12</xdr:col>
      <xdr:colOff>600075</xdr:colOff>
      <xdr:row>19</xdr:row>
      <xdr:rowOff>19050</xdr:rowOff>
    </xdr:to>
    <xdr:sp macro="" textlink="">
      <xdr:nvSpPr>
        <xdr:cNvPr id="32925" name="Line 157"/>
        <xdr:cNvSpPr>
          <a:spLocks noChangeShapeType="1"/>
        </xdr:cNvSpPr>
      </xdr:nvSpPr>
      <xdr:spPr bwMode="auto">
        <a:xfrm flipV="1">
          <a:off x="7867650" y="3095625"/>
          <a:ext cx="0" cy="2095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13</xdr:col>
      <xdr:colOff>47625</xdr:colOff>
      <xdr:row>17</xdr:row>
      <xdr:rowOff>95250</xdr:rowOff>
    </xdr:from>
    <xdr:ext cx="466725" cy="180975"/>
    <xdr:sp macro="" textlink="">
      <xdr:nvSpPr>
        <xdr:cNvPr id="32926" name="Text Box 158"/>
        <xdr:cNvSpPr txBox="1">
          <a:spLocks noChangeArrowheads="1"/>
        </xdr:cNvSpPr>
      </xdr:nvSpPr>
      <xdr:spPr bwMode="auto">
        <a:xfrm>
          <a:off x="7924800" y="3028950"/>
          <a:ext cx="466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FF"/>
              </a:solidFill>
              <a:latin typeface="Arial"/>
              <a:cs typeface="Arial"/>
            </a:rPr>
            <a:t>2"</a:t>
          </a: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800" b="0" i="0" u="none" strike="noStrike" baseline="0">
              <a:solidFill>
                <a:srgbClr val="FF0000"/>
              </a:solidFill>
              <a:latin typeface="Arial"/>
              <a:cs typeface="Arial"/>
            </a:rPr>
            <a:t>51mm</a:t>
          </a:r>
        </a:p>
      </xdr:txBody>
    </xdr:sp>
    <xdr:clientData/>
  </xdr:oneCellAnchor>
  <xdr:twoCellAnchor>
    <xdr:from>
      <xdr:col>12</xdr:col>
      <xdr:colOff>600075</xdr:colOff>
      <xdr:row>17</xdr:row>
      <xdr:rowOff>161925</xdr:rowOff>
    </xdr:from>
    <xdr:to>
      <xdr:col>13</xdr:col>
      <xdr:colOff>57150</xdr:colOff>
      <xdr:row>17</xdr:row>
      <xdr:rowOff>161925</xdr:rowOff>
    </xdr:to>
    <xdr:sp macro="" textlink="">
      <xdr:nvSpPr>
        <xdr:cNvPr id="32927" name="Line 159"/>
        <xdr:cNvSpPr>
          <a:spLocks noChangeShapeType="1"/>
        </xdr:cNvSpPr>
      </xdr:nvSpPr>
      <xdr:spPr bwMode="auto">
        <a:xfrm>
          <a:off x="7867650" y="3095625"/>
          <a:ext cx="666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219075</xdr:colOff>
      <xdr:row>22</xdr:row>
      <xdr:rowOff>123825</xdr:rowOff>
    </xdr:from>
    <xdr:to>
      <xdr:col>13</xdr:col>
      <xdr:colOff>9525</xdr:colOff>
      <xdr:row>24</xdr:row>
      <xdr:rowOff>123825</xdr:rowOff>
    </xdr:to>
    <xdr:sp macro="" textlink="">
      <xdr:nvSpPr>
        <xdr:cNvPr id="32928" name="Line 160"/>
        <xdr:cNvSpPr>
          <a:spLocks noChangeShapeType="1"/>
        </xdr:cNvSpPr>
      </xdr:nvSpPr>
      <xdr:spPr bwMode="auto">
        <a:xfrm>
          <a:off x="7486650" y="3924300"/>
          <a:ext cx="400050" cy="3619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304800</xdr:colOff>
      <xdr:row>21</xdr:row>
      <xdr:rowOff>142875</xdr:rowOff>
    </xdr:from>
    <xdr:to>
      <xdr:col>13</xdr:col>
      <xdr:colOff>19050</xdr:colOff>
      <xdr:row>24</xdr:row>
      <xdr:rowOff>133350</xdr:rowOff>
    </xdr:to>
    <xdr:sp macro="" textlink="">
      <xdr:nvSpPr>
        <xdr:cNvPr id="32929" name="Line 161"/>
        <xdr:cNvSpPr>
          <a:spLocks noChangeShapeType="1"/>
        </xdr:cNvSpPr>
      </xdr:nvSpPr>
      <xdr:spPr bwMode="auto">
        <a:xfrm>
          <a:off x="7572375" y="3771900"/>
          <a:ext cx="323850" cy="5238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13</xdr:col>
      <xdr:colOff>47625</xdr:colOff>
      <xdr:row>24</xdr:row>
      <xdr:rowOff>19050</xdr:rowOff>
    </xdr:from>
    <xdr:ext cx="1276350" cy="466725"/>
    <xdr:sp macro="" textlink="">
      <xdr:nvSpPr>
        <xdr:cNvPr id="32930" name="Text Box 162"/>
        <xdr:cNvSpPr txBox="1">
          <a:spLocks noChangeArrowheads="1"/>
        </xdr:cNvSpPr>
      </xdr:nvSpPr>
      <xdr:spPr bwMode="auto">
        <a:xfrm>
          <a:off x="7924800" y="4181475"/>
          <a:ext cx="12763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Vessel Clip Pl </a:t>
          </a:r>
          <a:r>
            <a:rPr lang="en-US" sz="800" b="0" i="0" u="none" strike="noStrike" baseline="0">
              <a:solidFill>
                <a:srgbClr val="0000FF"/>
              </a:solidFill>
              <a:latin typeface="Arial"/>
              <a:cs typeface="Arial"/>
            </a:rPr>
            <a:t>1/2"</a:t>
          </a: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800" b="0" i="0" u="none" strike="noStrike" baseline="0">
              <a:solidFill>
                <a:srgbClr val="FF0000"/>
              </a:solidFill>
              <a:latin typeface="Arial"/>
              <a:cs typeface="Arial"/>
            </a:rPr>
            <a:t>(13mm)</a:t>
          </a: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&amp; Dblr. Pl </a:t>
          </a:r>
          <a:r>
            <a:rPr lang="en-US" sz="800" b="0" i="0" u="none" strike="noStrike" baseline="0">
              <a:solidFill>
                <a:srgbClr val="0000FF"/>
              </a:solidFill>
              <a:latin typeface="Arial"/>
              <a:cs typeface="Arial"/>
            </a:rPr>
            <a:t>1/2"x 6"X1'-4"</a:t>
          </a: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  </a:t>
          </a:r>
          <a:r>
            <a:rPr lang="en-US" sz="800" b="0" i="0" u="none" strike="noStrike" baseline="0">
              <a:solidFill>
                <a:srgbClr val="FF0000"/>
              </a:solidFill>
              <a:latin typeface="Arial"/>
              <a:cs typeface="Arial"/>
            </a:rPr>
            <a:t>(13x150x406mm)</a:t>
          </a:r>
        </a:p>
      </xdr:txBody>
    </xdr:sp>
    <xdr:clientData/>
  </xdr:oneCellAnchor>
  <xdr:twoCellAnchor>
    <xdr:from>
      <xdr:col>12</xdr:col>
      <xdr:colOff>390525</xdr:colOff>
      <xdr:row>16</xdr:row>
      <xdr:rowOff>85725</xdr:rowOff>
    </xdr:from>
    <xdr:to>
      <xdr:col>12</xdr:col>
      <xdr:colOff>447675</xdr:colOff>
      <xdr:row>19</xdr:row>
      <xdr:rowOff>28575</xdr:rowOff>
    </xdr:to>
    <xdr:sp macro="" textlink="">
      <xdr:nvSpPr>
        <xdr:cNvPr id="32931" name="Line 163"/>
        <xdr:cNvSpPr>
          <a:spLocks noChangeShapeType="1"/>
        </xdr:cNvSpPr>
      </xdr:nvSpPr>
      <xdr:spPr bwMode="auto">
        <a:xfrm flipV="1">
          <a:off x="7658100" y="2838450"/>
          <a:ext cx="57150" cy="476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447675</xdr:colOff>
      <xdr:row>16</xdr:row>
      <xdr:rowOff>76200</xdr:rowOff>
    </xdr:from>
    <xdr:to>
      <xdr:col>12</xdr:col>
      <xdr:colOff>571500</xdr:colOff>
      <xdr:row>16</xdr:row>
      <xdr:rowOff>76200</xdr:rowOff>
    </xdr:to>
    <xdr:sp macro="" textlink="">
      <xdr:nvSpPr>
        <xdr:cNvPr id="32932" name="Line 164"/>
        <xdr:cNvSpPr>
          <a:spLocks noChangeShapeType="1"/>
        </xdr:cNvSpPr>
      </xdr:nvSpPr>
      <xdr:spPr bwMode="auto">
        <a:xfrm>
          <a:off x="7715250" y="2828925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13</xdr:col>
      <xdr:colOff>0</xdr:colOff>
      <xdr:row>15</xdr:row>
      <xdr:rowOff>171450</xdr:rowOff>
    </xdr:from>
    <xdr:ext cx="895350" cy="180975"/>
    <xdr:sp macro="" textlink="">
      <xdr:nvSpPr>
        <xdr:cNvPr id="32933" name="Text Box 165"/>
        <xdr:cNvSpPr txBox="1">
          <a:spLocks noChangeArrowheads="1"/>
        </xdr:cNvSpPr>
      </xdr:nvSpPr>
      <xdr:spPr bwMode="auto">
        <a:xfrm>
          <a:off x="7877175" y="2743200"/>
          <a:ext cx="8953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Top of Brkt. &amp; Clip</a:t>
          </a:r>
        </a:p>
      </xdr:txBody>
    </xdr:sp>
    <xdr:clientData/>
  </xdr:oneCellAnchor>
  <xdr:oneCellAnchor>
    <xdr:from>
      <xdr:col>13</xdr:col>
      <xdr:colOff>266700</xdr:colOff>
      <xdr:row>18</xdr:row>
      <xdr:rowOff>133350</xdr:rowOff>
    </xdr:from>
    <xdr:ext cx="847725" cy="200025"/>
    <xdr:sp macro="" textlink="">
      <xdr:nvSpPr>
        <xdr:cNvPr id="32934" name="Text Box 166"/>
        <xdr:cNvSpPr txBox="1">
          <a:spLocks noChangeArrowheads="1"/>
        </xdr:cNvSpPr>
      </xdr:nvSpPr>
      <xdr:spPr bwMode="auto">
        <a:xfrm>
          <a:off x="8143875" y="3248025"/>
          <a:ext cx="847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Clip Ref. Elev.</a:t>
          </a:r>
        </a:p>
      </xdr:txBody>
    </xdr:sp>
    <xdr:clientData/>
  </xdr:oneCellAnchor>
  <xdr:oneCellAnchor>
    <xdr:from>
      <xdr:col>8</xdr:col>
      <xdr:colOff>600075</xdr:colOff>
      <xdr:row>15</xdr:row>
      <xdr:rowOff>95250</xdr:rowOff>
    </xdr:from>
    <xdr:ext cx="1781175" cy="466725"/>
    <xdr:sp macro="" textlink="">
      <xdr:nvSpPr>
        <xdr:cNvPr id="32935" name="Text Box 167"/>
        <xdr:cNvSpPr txBox="1">
          <a:spLocks noChangeArrowheads="1"/>
        </xdr:cNvSpPr>
      </xdr:nvSpPr>
      <xdr:spPr bwMode="auto">
        <a:xfrm>
          <a:off x="5429250" y="2667000"/>
          <a:ext cx="17811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4-</a:t>
          </a:r>
          <a:r>
            <a:rPr lang="en-US" sz="800" b="0" i="0" u="none" strike="noStrike" baseline="0">
              <a:solidFill>
                <a:srgbClr val="0000FF"/>
              </a:solidFill>
              <a:latin typeface="Arial"/>
              <a:cs typeface="Arial"/>
            </a:rPr>
            <a:t>13/16"</a:t>
          </a: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Dia. Holes for </a:t>
          </a:r>
          <a:r>
            <a:rPr lang="en-US" sz="800" b="0" i="0" u="none" strike="noStrike" baseline="0">
              <a:solidFill>
                <a:srgbClr val="0000FF"/>
              </a:solidFill>
              <a:latin typeface="Arial"/>
              <a:cs typeface="Arial"/>
            </a:rPr>
            <a:t>3/4</a:t>
          </a: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"Dia. Bolt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4-</a:t>
          </a:r>
          <a:r>
            <a:rPr lang="en-US" sz="800" b="0" i="0" u="none" strike="noStrike" baseline="0">
              <a:solidFill>
                <a:srgbClr val="FF0000"/>
              </a:solidFill>
              <a:latin typeface="Arial"/>
              <a:cs typeface="Arial"/>
            </a:rPr>
            <a:t>21mm</a:t>
          </a: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 Dia. Holes for</a:t>
          </a:r>
          <a:r>
            <a:rPr lang="en-US" sz="800" b="0" i="0" u="none" strike="noStrike" baseline="0">
              <a:solidFill>
                <a:srgbClr val="FF0000"/>
              </a:solidFill>
              <a:latin typeface="Arial"/>
              <a:cs typeface="Arial"/>
            </a:rPr>
            <a:t> 19mm</a:t>
          </a: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 Dia. Bolt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ASTM A325N Bolts w/ L.I.W.</a:t>
          </a:r>
        </a:p>
      </xdr:txBody>
    </xdr:sp>
    <xdr:clientData/>
  </xdr:oneCellAnchor>
  <xdr:twoCellAnchor>
    <xdr:from>
      <xdr:col>11</xdr:col>
      <xdr:colOff>419100</xdr:colOff>
      <xdr:row>15</xdr:row>
      <xdr:rowOff>171450</xdr:rowOff>
    </xdr:from>
    <xdr:to>
      <xdr:col>12</xdr:col>
      <xdr:colOff>114300</xdr:colOff>
      <xdr:row>15</xdr:row>
      <xdr:rowOff>171450</xdr:rowOff>
    </xdr:to>
    <xdr:sp macro="" textlink="">
      <xdr:nvSpPr>
        <xdr:cNvPr id="32936" name="Line 168"/>
        <xdr:cNvSpPr>
          <a:spLocks noChangeShapeType="1"/>
        </xdr:cNvSpPr>
      </xdr:nvSpPr>
      <xdr:spPr bwMode="auto">
        <a:xfrm flipH="1">
          <a:off x="7077075" y="2743200"/>
          <a:ext cx="3048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171450</xdr:colOff>
      <xdr:row>15</xdr:row>
      <xdr:rowOff>104775</xdr:rowOff>
    </xdr:from>
    <xdr:to>
      <xdr:col>12</xdr:col>
      <xdr:colOff>171450</xdr:colOff>
      <xdr:row>19</xdr:row>
      <xdr:rowOff>9525</xdr:rowOff>
    </xdr:to>
    <xdr:sp macro="" textlink="">
      <xdr:nvSpPr>
        <xdr:cNvPr id="32937" name="Line 169"/>
        <xdr:cNvSpPr>
          <a:spLocks noChangeShapeType="1"/>
        </xdr:cNvSpPr>
      </xdr:nvSpPr>
      <xdr:spPr bwMode="auto">
        <a:xfrm flipV="1">
          <a:off x="7439025" y="2676525"/>
          <a:ext cx="0" cy="6191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114300</xdr:colOff>
      <xdr:row>15</xdr:row>
      <xdr:rowOff>171450</xdr:rowOff>
    </xdr:from>
    <xdr:to>
      <xdr:col>12</xdr:col>
      <xdr:colOff>171450</xdr:colOff>
      <xdr:row>15</xdr:row>
      <xdr:rowOff>171450</xdr:rowOff>
    </xdr:to>
    <xdr:sp macro="" textlink="">
      <xdr:nvSpPr>
        <xdr:cNvPr id="32938" name="Line 170"/>
        <xdr:cNvSpPr>
          <a:spLocks noChangeShapeType="1"/>
        </xdr:cNvSpPr>
      </xdr:nvSpPr>
      <xdr:spPr bwMode="auto">
        <a:xfrm>
          <a:off x="7381875" y="2743200"/>
          <a:ext cx="571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171450</xdr:colOff>
      <xdr:row>15</xdr:row>
      <xdr:rowOff>171450</xdr:rowOff>
    </xdr:from>
    <xdr:to>
      <xdr:col>12</xdr:col>
      <xdr:colOff>419100</xdr:colOff>
      <xdr:row>15</xdr:row>
      <xdr:rowOff>171450</xdr:rowOff>
    </xdr:to>
    <xdr:sp macro="" textlink="">
      <xdr:nvSpPr>
        <xdr:cNvPr id="32939" name="Line 171"/>
        <xdr:cNvSpPr>
          <a:spLocks noChangeShapeType="1"/>
        </xdr:cNvSpPr>
      </xdr:nvSpPr>
      <xdr:spPr bwMode="auto">
        <a:xfrm>
          <a:off x="7439025" y="2743200"/>
          <a:ext cx="2476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12</xdr:col>
      <xdr:colOff>276225</xdr:colOff>
      <xdr:row>15</xdr:row>
      <xdr:rowOff>38100</xdr:rowOff>
    </xdr:from>
    <xdr:ext cx="647700" cy="180975"/>
    <xdr:sp macro="" textlink="">
      <xdr:nvSpPr>
        <xdr:cNvPr id="32941" name="Text Box 173"/>
        <xdr:cNvSpPr txBox="1">
          <a:spLocks noChangeArrowheads="1"/>
        </xdr:cNvSpPr>
      </xdr:nvSpPr>
      <xdr:spPr bwMode="auto">
        <a:xfrm>
          <a:off x="7543800" y="2609850"/>
          <a:ext cx="6477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FF"/>
              </a:solidFill>
              <a:latin typeface="Arial"/>
              <a:cs typeface="Arial"/>
            </a:rPr>
            <a:t>1-1/2"</a:t>
          </a: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800" b="0" i="0" u="none" strike="noStrike" baseline="0">
              <a:solidFill>
                <a:srgbClr val="FF0000"/>
              </a:solidFill>
              <a:latin typeface="Arial"/>
              <a:cs typeface="Arial"/>
            </a:rPr>
            <a:t>38mm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295275</xdr:colOff>
          <xdr:row>1</xdr:row>
          <xdr:rowOff>28575</xdr:rowOff>
        </xdr:from>
        <xdr:to>
          <xdr:col>24</xdr:col>
          <xdr:colOff>504825</xdr:colOff>
          <xdr:row>1</xdr:row>
          <xdr:rowOff>2800350</xdr:rowOff>
        </xdr:to>
        <xdr:sp macro="" textlink="">
          <xdr:nvSpPr>
            <xdr:cNvPr id="38913" name="Object 1" hidden="1">
              <a:extLst>
                <a:ext uri="{63B3BB69-23CF-44E3-9099-C40C66FF867C}">
                  <a14:compatExt spid="_x0000_s389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</xdr:row>
          <xdr:rowOff>28575</xdr:rowOff>
        </xdr:from>
        <xdr:to>
          <xdr:col>24</xdr:col>
          <xdr:colOff>428625</xdr:colOff>
          <xdr:row>1</xdr:row>
          <xdr:rowOff>2790825</xdr:rowOff>
        </xdr:to>
        <xdr:sp macro="" textlink="">
          <xdr:nvSpPr>
            <xdr:cNvPr id="38914" name="Object 2" hidden="1">
              <a:extLst>
                <a:ext uri="{63B3BB69-23CF-44E3-9099-C40C66FF867C}">
                  <a14:compatExt spid="_x0000_s389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295275</xdr:colOff>
          <xdr:row>1</xdr:row>
          <xdr:rowOff>28575</xdr:rowOff>
        </xdr:from>
        <xdr:to>
          <xdr:col>24</xdr:col>
          <xdr:colOff>514350</xdr:colOff>
          <xdr:row>1</xdr:row>
          <xdr:rowOff>2800350</xdr:rowOff>
        </xdr:to>
        <xdr:sp macro="" textlink="">
          <xdr:nvSpPr>
            <xdr:cNvPr id="38915" name="Object 3" hidden="1">
              <a:extLst>
                <a:ext uri="{63B3BB69-23CF-44E3-9099-C40C66FF867C}">
                  <a14:compatExt spid="_x0000_s389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</xdr:row>
          <xdr:rowOff>28575</xdr:rowOff>
        </xdr:from>
        <xdr:to>
          <xdr:col>24</xdr:col>
          <xdr:colOff>428625</xdr:colOff>
          <xdr:row>1</xdr:row>
          <xdr:rowOff>2790825</xdr:rowOff>
        </xdr:to>
        <xdr:sp macro="" textlink="">
          <xdr:nvSpPr>
            <xdr:cNvPr id="38916" name="Object 4" hidden="1">
              <a:extLst>
                <a:ext uri="{63B3BB69-23CF-44E3-9099-C40C66FF867C}">
                  <a14:compatExt spid="_x0000_s389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66675</xdr:colOff>
      <xdr:row>1</xdr:row>
      <xdr:rowOff>9525</xdr:rowOff>
    </xdr:from>
    <xdr:ext cx="209550" cy="838200"/>
    <xdr:sp macro="" textlink="">
      <xdr:nvSpPr>
        <xdr:cNvPr id="15369" name="Text Box 9"/>
        <xdr:cNvSpPr txBox="1">
          <a:spLocks noChangeArrowheads="1"/>
        </xdr:cNvSpPr>
      </xdr:nvSpPr>
      <xdr:spPr bwMode="auto">
        <a:xfrm>
          <a:off x="7924800" y="219075"/>
          <a:ext cx="2095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27432" bIns="0" anchor="t" upright="1">
          <a:spAutoFit/>
        </a:bodyPr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FF"/>
              </a:solidFill>
              <a:latin typeface="Arial"/>
              <a:cs typeface="Arial"/>
            </a:rPr>
            <a:t>Z</a:t>
          </a:r>
        </a:p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FF"/>
              </a:solidFill>
              <a:latin typeface="Arial"/>
              <a:cs typeface="Arial"/>
            </a:rPr>
            <a:t>I</a:t>
          </a:r>
        </a:p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FF"/>
              </a:solidFill>
              <a:latin typeface="Arial"/>
              <a:cs typeface="Arial"/>
            </a:rPr>
            <a:t>R</a:t>
          </a:r>
          <a:endParaRPr lang="en-US" sz="1000" b="1" i="0" u="none" strike="noStrike" baseline="0">
            <a:solidFill>
              <a:srgbClr val="0000FF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000" b="1" i="0" u="none" strike="noStrike" baseline="0">
            <a:solidFill>
              <a:srgbClr val="0000FF"/>
            </a:solidFill>
            <a:latin typeface="Arial"/>
            <a:cs typeface="Arial"/>
          </a:endParaRPr>
        </a:p>
      </xdr:txBody>
    </xdr:sp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228600</xdr:colOff>
      <xdr:row>5</xdr:row>
      <xdr:rowOff>19050</xdr:rowOff>
    </xdr:from>
    <xdr:to>
      <xdr:col>10</xdr:col>
      <xdr:colOff>247650</xdr:colOff>
      <xdr:row>19</xdr:row>
      <xdr:rowOff>152400</xdr:rowOff>
    </xdr:to>
    <xdr:sp macro="" textlink="">
      <xdr:nvSpPr>
        <xdr:cNvPr id="31745" name="AutoShape 1"/>
        <xdr:cNvSpPr>
          <a:spLocks noChangeArrowheads="1"/>
        </xdr:cNvSpPr>
      </xdr:nvSpPr>
      <xdr:spPr bwMode="auto">
        <a:xfrm>
          <a:off x="2057400" y="847725"/>
          <a:ext cx="4286250" cy="2495550"/>
        </a:xfrm>
        <a:custGeom>
          <a:avLst/>
          <a:gdLst>
            <a:gd name="G0" fmla="+- 10368 0 0"/>
            <a:gd name="G1" fmla="+- 11796480 0 0"/>
            <a:gd name="G2" fmla="+- 0 0 11796480"/>
            <a:gd name="T0" fmla="*/ 0 256 1"/>
            <a:gd name="T1" fmla="*/ 180 256 1"/>
            <a:gd name="G3" fmla="+- 11796480 T0 T1"/>
            <a:gd name="T2" fmla="*/ 0 256 1"/>
            <a:gd name="T3" fmla="*/ 90 256 1"/>
            <a:gd name="G4" fmla="+- 11796480 T2 T3"/>
            <a:gd name="G5" fmla="*/ G4 2 1"/>
            <a:gd name="T4" fmla="*/ 90 256 1"/>
            <a:gd name="T5" fmla="*/ 0 256 1"/>
            <a:gd name="G6" fmla="+- 11796480 T4 T5"/>
            <a:gd name="G7" fmla="*/ G6 2 1"/>
            <a:gd name="G8" fmla="abs 11796480"/>
            <a:gd name="T6" fmla="*/ 0 256 1"/>
            <a:gd name="T7" fmla="*/ 90 256 1"/>
            <a:gd name="G9" fmla="+- G8 T6 T7"/>
            <a:gd name="G10" fmla="?: G9 G7 G5"/>
            <a:gd name="T8" fmla="*/ 0 256 1"/>
            <a:gd name="T9" fmla="*/ 360 256 1"/>
            <a:gd name="G11" fmla="+- G10 T8 T9"/>
            <a:gd name="G12" fmla="?: G10 G11 G10"/>
            <a:gd name="T10" fmla="*/ 0 256 1"/>
            <a:gd name="T11" fmla="*/ 360 256 1"/>
            <a:gd name="G13" fmla="+- G12 T10 T11"/>
            <a:gd name="G14" fmla="?: G12 G13 G12"/>
            <a:gd name="G15" fmla="+- 0 0 G14"/>
            <a:gd name="G16" fmla="+- 10800 0 0"/>
            <a:gd name="G17" fmla="+- 10800 0 10368"/>
            <a:gd name="G18" fmla="*/ 10368 1 2"/>
            <a:gd name="G19" fmla="+- G18 5400 0"/>
            <a:gd name="G20" fmla="cos G19 11796480"/>
            <a:gd name="G21" fmla="sin G19 11796480"/>
            <a:gd name="G22" fmla="+- G20 10800 0"/>
            <a:gd name="G23" fmla="+- G21 10800 0"/>
            <a:gd name="G24" fmla="+- 10800 0 G20"/>
            <a:gd name="G25" fmla="+- 10368 10800 0"/>
            <a:gd name="G26" fmla="?: G9 G17 G25"/>
            <a:gd name="G27" fmla="?: G9 0 21600"/>
            <a:gd name="G28" fmla="cos 10800 11796480"/>
            <a:gd name="G29" fmla="sin 10800 11796480"/>
            <a:gd name="G30" fmla="sin 10368 11796480"/>
            <a:gd name="G31" fmla="+- G28 10800 0"/>
            <a:gd name="G32" fmla="+- G29 10800 0"/>
            <a:gd name="G33" fmla="+- G30 10800 0"/>
            <a:gd name="G34" fmla="?: G4 0 G31"/>
            <a:gd name="G35" fmla="?: 11796480 G34 0"/>
            <a:gd name="G36" fmla="?: G6 G35 G31"/>
            <a:gd name="G37" fmla="+- 21600 0 G36"/>
            <a:gd name="G38" fmla="?: G4 0 G33"/>
            <a:gd name="G39" fmla="?: 11796480 G38 G32"/>
            <a:gd name="G40" fmla="?: G6 G39 0"/>
            <a:gd name="G41" fmla="?: G4 G32 21600"/>
            <a:gd name="G42" fmla="?: G6 G41 G33"/>
            <a:gd name="T12" fmla="*/ 10800 w 21600"/>
            <a:gd name="T13" fmla="*/ 0 h 21600"/>
            <a:gd name="T14" fmla="*/ 216 w 21600"/>
            <a:gd name="T15" fmla="*/ 10800 h 21600"/>
            <a:gd name="T16" fmla="*/ 10800 w 21600"/>
            <a:gd name="T17" fmla="*/ 432 h 21600"/>
            <a:gd name="T18" fmla="*/ 21384 w 21600"/>
            <a:gd name="T19" fmla="*/ 10800 h 21600"/>
            <a:gd name="T20" fmla="*/ G36 w 21600"/>
            <a:gd name="T21" fmla="*/ G40 h 21600"/>
            <a:gd name="T22" fmla="*/ G37 w 21600"/>
            <a:gd name="T23" fmla="*/ G42 h 21600"/>
          </a:gdLst>
          <a:ahLst/>
          <a:cxnLst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</a:cxnLst>
          <a:rect l="T20" t="T21" r="T22" b="T23"/>
          <a:pathLst>
            <a:path w="21600" h="21600">
              <a:moveTo>
                <a:pt x="432" y="10800"/>
              </a:moveTo>
              <a:cubicBezTo>
                <a:pt x="432" y="5073"/>
                <a:pt x="5073" y="432"/>
                <a:pt x="10800" y="432"/>
              </a:cubicBezTo>
              <a:cubicBezTo>
                <a:pt x="16526" y="431"/>
                <a:pt x="21167" y="5073"/>
                <a:pt x="21168" y="10799"/>
              </a:cubicBezTo>
              <a:lnTo>
                <a:pt x="21600" y="10800"/>
              </a:lnTo>
              <a:cubicBezTo>
                <a:pt x="21600" y="4835"/>
                <a:pt x="16764" y="0"/>
                <a:pt x="10800" y="0"/>
              </a:cubicBezTo>
              <a:cubicBezTo>
                <a:pt x="4835" y="0"/>
                <a:pt x="0" y="4835"/>
                <a:pt x="0" y="10800"/>
              </a:cubicBezTo>
              <a:close/>
            </a:path>
          </a:pathLst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228600</xdr:colOff>
      <xdr:row>12</xdr:row>
      <xdr:rowOff>95250</xdr:rowOff>
    </xdr:from>
    <xdr:to>
      <xdr:col>3</xdr:col>
      <xdr:colOff>304800</xdr:colOff>
      <xdr:row>14</xdr:row>
      <xdr:rowOff>9525</xdr:rowOff>
    </xdr:to>
    <xdr:sp macro="" textlink="">
      <xdr:nvSpPr>
        <xdr:cNvPr id="31747" name="Rectangle 3"/>
        <xdr:cNvSpPr>
          <a:spLocks noChangeArrowheads="1"/>
        </xdr:cNvSpPr>
      </xdr:nvSpPr>
      <xdr:spPr bwMode="auto">
        <a:xfrm>
          <a:off x="2057400" y="2105025"/>
          <a:ext cx="76200" cy="238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180975</xdr:colOff>
      <xdr:row>12</xdr:row>
      <xdr:rowOff>85725</xdr:rowOff>
    </xdr:from>
    <xdr:to>
      <xdr:col>10</xdr:col>
      <xdr:colOff>257175</xdr:colOff>
      <xdr:row>14</xdr:row>
      <xdr:rowOff>0</xdr:rowOff>
    </xdr:to>
    <xdr:sp macro="" textlink="">
      <xdr:nvSpPr>
        <xdr:cNvPr id="31748" name="Rectangle 4"/>
        <xdr:cNvSpPr>
          <a:spLocks noChangeArrowheads="1"/>
        </xdr:cNvSpPr>
      </xdr:nvSpPr>
      <xdr:spPr bwMode="auto">
        <a:xfrm>
          <a:off x="6276975" y="2095500"/>
          <a:ext cx="76200" cy="238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485775</xdr:colOff>
      <xdr:row>4</xdr:row>
      <xdr:rowOff>47625</xdr:rowOff>
    </xdr:from>
    <xdr:to>
      <xdr:col>6</xdr:col>
      <xdr:colOff>495300</xdr:colOff>
      <xdr:row>21</xdr:row>
      <xdr:rowOff>0</xdr:rowOff>
    </xdr:to>
    <xdr:sp macro="" textlink="">
      <xdr:nvSpPr>
        <xdr:cNvPr id="31749" name="Line 5"/>
        <xdr:cNvSpPr>
          <a:spLocks noChangeShapeType="1"/>
        </xdr:cNvSpPr>
      </xdr:nvSpPr>
      <xdr:spPr bwMode="auto">
        <a:xfrm flipH="1" flipV="1">
          <a:off x="4143375" y="704850"/>
          <a:ext cx="9525" cy="281940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lgDash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266700</xdr:colOff>
      <xdr:row>14</xdr:row>
      <xdr:rowOff>19050</xdr:rowOff>
    </xdr:from>
    <xdr:to>
      <xdr:col>10</xdr:col>
      <xdr:colOff>276225</xdr:colOff>
      <xdr:row>14</xdr:row>
      <xdr:rowOff>19050</xdr:rowOff>
    </xdr:to>
    <xdr:sp macro="" textlink="">
      <xdr:nvSpPr>
        <xdr:cNvPr id="31750" name="Line 6"/>
        <xdr:cNvSpPr>
          <a:spLocks noChangeShapeType="1"/>
        </xdr:cNvSpPr>
      </xdr:nvSpPr>
      <xdr:spPr bwMode="auto">
        <a:xfrm>
          <a:off x="2095500" y="2352675"/>
          <a:ext cx="427672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561975</xdr:colOff>
      <xdr:row>12</xdr:row>
      <xdr:rowOff>95250</xdr:rowOff>
    </xdr:from>
    <xdr:to>
      <xdr:col>12</xdr:col>
      <xdr:colOff>428625</xdr:colOff>
      <xdr:row>12</xdr:row>
      <xdr:rowOff>95250</xdr:rowOff>
    </xdr:to>
    <xdr:sp macro="" textlink="">
      <xdr:nvSpPr>
        <xdr:cNvPr id="31751" name="Line 7"/>
        <xdr:cNvSpPr>
          <a:spLocks noChangeShapeType="1"/>
        </xdr:cNvSpPr>
      </xdr:nvSpPr>
      <xdr:spPr bwMode="auto">
        <a:xfrm flipV="1">
          <a:off x="561975" y="2105025"/>
          <a:ext cx="71818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lgDash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342900</xdr:colOff>
      <xdr:row>12</xdr:row>
      <xdr:rowOff>76200</xdr:rowOff>
    </xdr:from>
    <xdr:to>
      <xdr:col>4</xdr:col>
      <xdr:colOff>342900</xdr:colOff>
      <xdr:row>17</xdr:row>
      <xdr:rowOff>133350</xdr:rowOff>
    </xdr:to>
    <xdr:sp macro="" textlink="">
      <xdr:nvSpPr>
        <xdr:cNvPr id="31752" name="Line 8"/>
        <xdr:cNvSpPr>
          <a:spLocks noChangeShapeType="1"/>
        </xdr:cNvSpPr>
      </xdr:nvSpPr>
      <xdr:spPr bwMode="auto">
        <a:xfrm>
          <a:off x="2781300" y="2085975"/>
          <a:ext cx="0" cy="8858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lgDash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333375</xdr:colOff>
      <xdr:row>17</xdr:row>
      <xdr:rowOff>76200</xdr:rowOff>
    </xdr:from>
    <xdr:to>
      <xdr:col>6</xdr:col>
      <xdr:colOff>476250</xdr:colOff>
      <xdr:row>17</xdr:row>
      <xdr:rowOff>76200</xdr:rowOff>
    </xdr:to>
    <xdr:sp macro="" textlink="">
      <xdr:nvSpPr>
        <xdr:cNvPr id="31753" name="Line 9"/>
        <xdr:cNvSpPr>
          <a:spLocks noChangeShapeType="1"/>
        </xdr:cNvSpPr>
      </xdr:nvSpPr>
      <xdr:spPr bwMode="auto">
        <a:xfrm flipV="1">
          <a:off x="2771775" y="2914650"/>
          <a:ext cx="13620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485775</xdr:colOff>
      <xdr:row>6</xdr:row>
      <xdr:rowOff>38100</xdr:rowOff>
    </xdr:from>
    <xdr:to>
      <xdr:col>8</xdr:col>
      <xdr:colOff>266700</xdr:colOff>
      <xdr:row>20</xdr:row>
      <xdr:rowOff>142875</xdr:rowOff>
    </xdr:to>
    <xdr:sp macro="" textlink="">
      <xdr:nvSpPr>
        <xdr:cNvPr id="31754" name="Line 10"/>
        <xdr:cNvSpPr>
          <a:spLocks noChangeShapeType="1"/>
        </xdr:cNvSpPr>
      </xdr:nvSpPr>
      <xdr:spPr bwMode="auto">
        <a:xfrm flipH="1">
          <a:off x="4143375" y="1028700"/>
          <a:ext cx="1000125" cy="247650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495300</xdr:colOff>
      <xdr:row>5</xdr:row>
      <xdr:rowOff>66675</xdr:rowOff>
    </xdr:from>
    <xdr:to>
      <xdr:col>11</xdr:col>
      <xdr:colOff>466725</xdr:colOff>
      <xdr:row>5</xdr:row>
      <xdr:rowOff>66675</xdr:rowOff>
    </xdr:to>
    <xdr:sp macro="" textlink="">
      <xdr:nvSpPr>
        <xdr:cNvPr id="31756" name="Line 12"/>
        <xdr:cNvSpPr>
          <a:spLocks noChangeShapeType="1"/>
        </xdr:cNvSpPr>
      </xdr:nvSpPr>
      <xdr:spPr bwMode="auto">
        <a:xfrm flipV="1">
          <a:off x="4152900" y="895350"/>
          <a:ext cx="301942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304800</xdr:colOff>
      <xdr:row>14</xdr:row>
      <xdr:rowOff>28575</xdr:rowOff>
    </xdr:from>
    <xdr:to>
      <xdr:col>3</xdr:col>
      <xdr:colOff>304800</xdr:colOff>
      <xdr:row>24</xdr:row>
      <xdr:rowOff>152400</xdr:rowOff>
    </xdr:to>
    <xdr:sp macro="" textlink="">
      <xdr:nvSpPr>
        <xdr:cNvPr id="31757" name="Line 13"/>
        <xdr:cNvSpPr>
          <a:spLocks noChangeShapeType="1"/>
        </xdr:cNvSpPr>
      </xdr:nvSpPr>
      <xdr:spPr bwMode="auto">
        <a:xfrm>
          <a:off x="2133600" y="2362200"/>
          <a:ext cx="0" cy="182880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180975</xdr:colOff>
      <xdr:row>14</xdr:row>
      <xdr:rowOff>47625</xdr:rowOff>
    </xdr:from>
    <xdr:to>
      <xdr:col>10</xdr:col>
      <xdr:colOff>180975</xdr:colOff>
      <xdr:row>25</xdr:row>
      <xdr:rowOff>9525</xdr:rowOff>
    </xdr:to>
    <xdr:sp macro="" textlink="">
      <xdr:nvSpPr>
        <xdr:cNvPr id="31759" name="Line 15"/>
        <xdr:cNvSpPr>
          <a:spLocks noChangeShapeType="1"/>
        </xdr:cNvSpPr>
      </xdr:nvSpPr>
      <xdr:spPr bwMode="auto">
        <a:xfrm>
          <a:off x="6276975" y="2381250"/>
          <a:ext cx="0" cy="18478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304800</xdr:colOff>
      <xdr:row>24</xdr:row>
      <xdr:rowOff>114300</xdr:rowOff>
    </xdr:from>
    <xdr:to>
      <xdr:col>10</xdr:col>
      <xdr:colOff>171450</xdr:colOff>
      <xdr:row>24</xdr:row>
      <xdr:rowOff>114300</xdr:rowOff>
    </xdr:to>
    <xdr:sp macro="" textlink="">
      <xdr:nvSpPr>
        <xdr:cNvPr id="31760" name="Line 16"/>
        <xdr:cNvSpPr>
          <a:spLocks noChangeShapeType="1"/>
        </xdr:cNvSpPr>
      </xdr:nvSpPr>
      <xdr:spPr bwMode="auto">
        <a:xfrm>
          <a:off x="2133600" y="4152900"/>
          <a:ext cx="41338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5</xdr:col>
      <xdr:colOff>381000</xdr:colOff>
      <xdr:row>21</xdr:row>
      <xdr:rowOff>142875</xdr:rowOff>
    </xdr:from>
    <xdr:ext cx="1123950" cy="200025"/>
    <xdr:sp macro="" textlink="">
      <xdr:nvSpPr>
        <xdr:cNvPr id="31761" name="Text Box 17"/>
        <xdr:cNvSpPr txBox="1">
          <a:spLocks noChangeArrowheads="1"/>
        </xdr:cNvSpPr>
      </xdr:nvSpPr>
      <xdr:spPr bwMode="auto">
        <a:xfrm>
          <a:off x="3429000" y="3667125"/>
          <a:ext cx="11239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FF0000"/>
              </a:solidFill>
              <a:latin typeface="Arial"/>
              <a:cs typeface="Arial"/>
            </a:rPr>
            <a:t>Key In I.D. Inches</a:t>
          </a:r>
        </a:p>
      </xdr:txBody>
    </xdr:sp>
    <xdr:clientData/>
  </xdr:oneCellAnchor>
  <xdr:twoCellAnchor>
    <xdr:from>
      <xdr:col>7</xdr:col>
      <xdr:colOff>238125</xdr:colOff>
      <xdr:row>15</xdr:row>
      <xdr:rowOff>85725</xdr:rowOff>
    </xdr:from>
    <xdr:to>
      <xdr:col>8</xdr:col>
      <xdr:colOff>0</xdr:colOff>
      <xdr:row>17</xdr:row>
      <xdr:rowOff>104775</xdr:rowOff>
    </xdr:to>
    <xdr:sp macro="" textlink="">
      <xdr:nvSpPr>
        <xdr:cNvPr id="31762" name="Line 18"/>
        <xdr:cNvSpPr>
          <a:spLocks noChangeShapeType="1"/>
        </xdr:cNvSpPr>
      </xdr:nvSpPr>
      <xdr:spPr bwMode="auto">
        <a:xfrm>
          <a:off x="4505325" y="2581275"/>
          <a:ext cx="371475" cy="3619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oval" w="med" len="med"/>
          <a:tailEnd type="oval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314325</xdr:colOff>
      <xdr:row>5</xdr:row>
      <xdr:rowOff>57150</xdr:rowOff>
    </xdr:from>
    <xdr:to>
      <xdr:col>11</xdr:col>
      <xdr:colOff>314325</xdr:colOff>
      <xdr:row>12</xdr:row>
      <xdr:rowOff>85725</xdr:rowOff>
    </xdr:to>
    <xdr:sp macro="" textlink="">
      <xdr:nvSpPr>
        <xdr:cNvPr id="31763" name="Line 19"/>
        <xdr:cNvSpPr>
          <a:spLocks noChangeShapeType="1"/>
        </xdr:cNvSpPr>
      </xdr:nvSpPr>
      <xdr:spPr bwMode="auto">
        <a:xfrm flipV="1">
          <a:off x="7019925" y="885825"/>
          <a:ext cx="0" cy="120967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314325</xdr:colOff>
      <xdr:row>8</xdr:row>
      <xdr:rowOff>76200</xdr:rowOff>
    </xdr:from>
    <xdr:to>
      <xdr:col>12</xdr:col>
      <xdr:colOff>0</xdr:colOff>
      <xdr:row>8</xdr:row>
      <xdr:rowOff>76200</xdr:rowOff>
    </xdr:to>
    <xdr:sp macro="" textlink="">
      <xdr:nvSpPr>
        <xdr:cNvPr id="31764" name="Line 20"/>
        <xdr:cNvSpPr>
          <a:spLocks noChangeShapeType="1"/>
        </xdr:cNvSpPr>
      </xdr:nvSpPr>
      <xdr:spPr bwMode="auto">
        <a:xfrm>
          <a:off x="7019925" y="1400175"/>
          <a:ext cx="29527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oval" w="med" len="med"/>
          <a:tailEnd type="oval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485775</xdr:colOff>
      <xdr:row>9</xdr:row>
      <xdr:rowOff>114300</xdr:rowOff>
    </xdr:from>
    <xdr:to>
      <xdr:col>4</xdr:col>
      <xdr:colOff>342900</xdr:colOff>
      <xdr:row>12</xdr:row>
      <xdr:rowOff>85725</xdr:rowOff>
    </xdr:to>
    <xdr:sp macro="" textlink="">
      <xdr:nvSpPr>
        <xdr:cNvPr id="31765" name="Line 21"/>
        <xdr:cNvSpPr>
          <a:spLocks noChangeShapeType="1"/>
        </xdr:cNvSpPr>
      </xdr:nvSpPr>
      <xdr:spPr bwMode="auto">
        <a:xfrm>
          <a:off x="2314575" y="1609725"/>
          <a:ext cx="466725" cy="48577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209550</xdr:colOff>
      <xdr:row>8</xdr:row>
      <xdr:rowOff>57150</xdr:rowOff>
    </xdr:from>
    <xdr:to>
      <xdr:col>3</xdr:col>
      <xdr:colOff>495300</xdr:colOff>
      <xdr:row>9</xdr:row>
      <xdr:rowOff>123825</xdr:rowOff>
    </xdr:to>
    <xdr:sp macro="" textlink="">
      <xdr:nvSpPr>
        <xdr:cNvPr id="31766" name="Line 22"/>
        <xdr:cNvSpPr>
          <a:spLocks noChangeShapeType="1"/>
        </xdr:cNvSpPr>
      </xdr:nvSpPr>
      <xdr:spPr bwMode="auto">
        <a:xfrm flipH="1" flipV="1">
          <a:off x="2038350" y="1381125"/>
          <a:ext cx="285750" cy="2381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8</xdr:row>
      <xdr:rowOff>66675</xdr:rowOff>
    </xdr:from>
    <xdr:to>
      <xdr:col>3</xdr:col>
      <xdr:colOff>209550</xdr:colOff>
      <xdr:row>8</xdr:row>
      <xdr:rowOff>66675</xdr:rowOff>
    </xdr:to>
    <xdr:sp macro="" textlink="">
      <xdr:nvSpPr>
        <xdr:cNvPr id="31767" name="Line 23"/>
        <xdr:cNvSpPr>
          <a:spLocks noChangeShapeType="1"/>
        </xdr:cNvSpPr>
      </xdr:nvSpPr>
      <xdr:spPr bwMode="auto">
        <a:xfrm flipH="1">
          <a:off x="1828800" y="1390650"/>
          <a:ext cx="2095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oval" w="med" len="med"/>
          <a:tailEnd type="oval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0</xdr:col>
      <xdr:colOff>600075</xdr:colOff>
      <xdr:row>11</xdr:row>
      <xdr:rowOff>66675</xdr:rowOff>
    </xdr:from>
    <xdr:ext cx="876300" cy="200025"/>
    <xdr:sp macro="" textlink="">
      <xdr:nvSpPr>
        <xdr:cNvPr id="31768" name="Text Box 24"/>
        <xdr:cNvSpPr txBox="1">
          <a:spLocks noChangeArrowheads="1"/>
        </xdr:cNvSpPr>
      </xdr:nvSpPr>
      <xdr:spPr bwMode="auto">
        <a:xfrm>
          <a:off x="600075" y="1914525"/>
          <a:ext cx="8763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Tangent Line</a:t>
          </a:r>
        </a:p>
      </xdr:txBody>
    </xdr:sp>
    <xdr:clientData/>
  </xdr:oneCellAnchor>
  <xdr:twoCellAnchor>
    <xdr:from>
      <xdr:col>10</xdr:col>
      <xdr:colOff>352425</xdr:colOff>
      <xdr:row>14</xdr:row>
      <xdr:rowOff>19050</xdr:rowOff>
    </xdr:from>
    <xdr:to>
      <xdr:col>11</xdr:col>
      <xdr:colOff>419100</xdr:colOff>
      <xdr:row>14</xdr:row>
      <xdr:rowOff>19050</xdr:rowOff>
    </xdr:to>
    <xdr:sp macro="" textlink="">
      <xdr:nvSpPr>
        <xdr:cNvPr id="31769" name="Line 25"/>
        <xdr:cNvSpPr>
          <a:spLocks noChangeShapeType="1"/>
        </xdr:cNvSpPr>
      </xdr:nvSpPr>
      <xdr:spPr bwMode="auto">
        <a:xfrm>
          <a:off x="6448425" y="2352675"/>
          <a:ext cx="6762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314325</xdr:colOff>
      <xdr:row>12</xdr:row>
      <xdr:rowOff>85725</xdr:rowOff>
    </xdr:from>
    <xdr:to>
      <xdr:col>11</xdr:col>
      <xdr:colOff>314325</xdr:colOff>
      <xdr:row>14</xdr:row>
      <xdr:rowOff>9525</xdr:rowOff>
    </xdr:to>
    <xdr:sp macro="" textlink="">
      <xdr:nvSpPr>
        <xdr:cNvPr id="31770" name="Line 26"/>
        <xdr:cNvSpPr>
          <a:spLocks noChangeShapeType="1"/>
        </xdr:cNvSpPr>
      </xdr:nvSpPr>
      <xdr:spPr bwMode="auto">
        <a:xfrm>
          <a:off x="7019925" y="2095500"/>
          <a:ext cx="0" cy="2476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304800</xdr:colOff>
      <xdr:row>14</xdr:row>
      <xdr:rowOff>0</xdr:rowOff>
    </xdr:from>
    <xdr:to>
      <xdr:col>11</xdr:col>
      <xdr:colOff>304800</xdr:colOff>
      <xdr:row>16</xdr:row>
      <xdr:rowOff>47625</xdr:rowOff>
    </xdr:to>
    <xdr:sp macro="" textlink="">
      <xdr:nvSpPr>
        <xdr:cNvPr id="31771" name="Line 27"/>
        <xdr:cNvSpPr>
          <a:spLocks noChangeShapeType="1"/>
        </xdr:cNvSpPr>
      </xdr:nvSpPr>
      <xdr:spPr bwMode="auto">
        <a:xfrm>
          <a:off x="7010400" y="2333625"/>
          <a:ext cx="0" cy="38100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352425</xdr:colOff>
      <xdr:row>13</xdr:row>
      <xdr:rowOff>104775</xdr:rowOff>
    </xdr:from>
    <xdr:to>
      <xdr:col>13</xdr:col>
      <xdr:colOff>523875</xdr:colOff>
      <xdr:row>19</xdr:row>
      <xdr:rowOff>66675</xdr:rowOff>
    </xdr:to>
    <xdr:sp macro="" textlink="">
      <xdr:nvSpPr>
        <xdr:cNvPr id="31773" name="Rectangle 29"/>
        <xdr:cNvSpPr>
          <a:spLocks noChangeArrowheads="1"/>
        </xdr:cNvSpPr>
      </xdr:nvSpPr>
      <xdr:spPr bwMode="auto">
        <a:xfrm>
          <a:off x="7667625" y="2276475"/>
          <a:ext cx="781050" cy="98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12</xdr:col>
      <xdr:colOff>409575</xdr:colOff>
      <xdr:row>13</xdr:row>
      <xdr:rowOff>133350</xdr:rowOff>
    </xdr:from>
    <xdr:to>
      <xdr:col>13</xdr:col>
      <xdr:colOff>495300</xdr:colOff>
      <xdr:row>19</xdr:row>
      <xdr:rowOff>19050</xdr:rowOff>
    </xdr:to>
    <xdr:sp macro="" textlink="">
      <xdr:nvSpPr>
        <xdr:cNvPr id="31774" name="Text Box 30"/>
        <xdr:cNvSpPr txBox="1">
          <a:spLocks noChangeArrowheads="1"/>
        </xdr:cNvSpPr>
      </xdr:nvSpPr>
      <xdr:spPr bwMode="auto">
        <a:xfrm>
          <a:off x="7724775" y="2305050"/>
          <a:ext cx="6953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Straight</a:t>
          </a:r>
        </a:p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Flange</a:t>
          </a:r>
        </a:p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Varies</a:t>
          </a:r>
        </a:p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2" Nom.</a:t>
          </a:r>
        </a:p>
        <a:p>
          <a:pPr algn="ctr" rtl="0">
            <a:defRPr sz="1000"/>
          </a:pPr>
          <a:r>
            <a:rPr lang="en-US" sz="1000" b="1" i="0" u="none" strike="noStrike" baseline="0">
              <a:solidFill>
                <a:srgbClr val="FF0000"/>
              </a:solidFill>
              <a:latin typeface="Arial"/>
              <a:cs typeface="Arial"/>
            </a:rPr>
            <a:t>51mm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11</xdr:col>
      <xdr:colOff>323850</xdr:colOff>
      <xdr:row>13</xdr:row>
      <xdr:rowOff>57150</xdr:rowOff>
    </xdr:from>
    <xdr:to>
      <xdr:col>12</xdr:col>
      <xdr:colOff>361950</xdr:colOff>
      <xdr:row>15</xdr:row>
      <xdr:rowOff>38100</xdr:rowOff>
    </xdr:to>
    <xdr:sp macro="" textlink="">
      <xdr:nvSpPr>
        <xdr:cNvPr id="31775" name="Line 31"/>
        <xdr:cNvSpPr>
          <a:spLocks noChangeShapeType="1"/>
        </xdr:cNvSpPr>
      </xdr:nvSpPr>
      <xdr:spPr bwMode="auto">
        <a:xfrm>
          <a:off x="7029450" y="2228850"/>
          <a:ext cx="647700" cy="30480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oval" w="med" len="med"/>
          <a:tailEnd type="oval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5</xdr:col>
      <xdr:colOff>419100</xdr:colOff>
      <xdr:row>26</xdr:row>
      <xdr:rowOff>47625</xdr:rowOff>
    </xdr:from>
    <xdr:ext cx="1657350" cy="266700"/>
    <xdr:sp macro="" textlink="">
      <xdr:nvSpPr>
        <xdr:cNvPr id="31776" name="Text Box 32"/>
        <xdr:cNvSpPr txBox="1">
          <a:spLocks noChangeArrowheads="1"/>
        </xdr:cNvSpPr>
      </xdr:nvSpPr>
      <xdr:spPr bwMode="auto">
        <a:xfrm>
          <a:off x="3467100" y="4448175"/>
          <a:ext cx="16573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400" b="1" i="0" u="sng" strike="noStrike" baseline="0">
              <a:solidFill>
                <a:srgbClr val="0000FF"/>
              </a:solidFill>
              <a:latin typeface="Arial"/>
              <a:cs typeface="Arial"/>
            </a:rPr>
            <a:t>2:1 Elliptical Head</a:t>
          </a:r>
        </a:p>
      </xdr:txBody>
    </xdr:sp>
    <xdr:clientData/>
  </xdr:oneCellAnchor>
  <xdr:twoCellAnchor>
    <xdr:from>
      <xdr:col>4</xdr:col>
      <xdr:colOff>161925</xdr:colOff>
      <xdr:row>8</xdr:row>
      <xdr:rowOff>9525</xdr:rowOff>
    </xdr:from>
    <xdr:to>
      <xdr:col>4</xdr:col>
      <xdr:colOff>342900</xdr:colOff>
      <xdr:row>12</xdr:row>
      <xdr:rowOff>76200</xdr:rowOff>
    </xdr:to>
    <xdr:sp macro="" textlink="">
      <xdr:nvSpPr>
        <xdr:cNvPr id="31777" name="Line 33"/>
        <xdr:cNvSpPr>
          <a:spLocks noChangeShapeType="1"/>
        </xdr:cNvSpPr>
      </xdr:nvSpPr>
      <xdr:spPr bwMode="auto">
        <a:xfrm flipH="1" flipV="1">
          <a:off x="2600325" y="1333500"/>
          <a:ext cx="180975" cy="75247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171450</xdr:colOff>
      <xdr:row>2</xdr:row>
      <xdr:rowOff>47625</xdr:rowOff>
    </xdr:from>
    <xdr:to>
      <xdr:col>4</xdr:col>
      <xdr:colOff>171450</xdr:colOff>
      <xdr:row>8</xdr:row>
      <xdr:rowOff>9525</xdr:rowOff>
    </xdr:to>
    <xdr:sp macro="" textlink="">
      <xdr:nvSpPr>
        <xdr:cNvPr id="31778" name="Line 34"/>
        <xdr:cNvSpPr>
          <a:spLocks noChangeShapeType="1"/>
        </xdr:cNvSpPr>
      </xdr:nvSpPr>
      <xdr:spPr bwMode="auto">
        <a:xfrm flipV="1">
          <a:off x="2609850" y="352425"/>
          <a:ext cx="0" cy="98107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295275</xdr:colOff>
      <xdr:row>2</xdr:row>
      <xdr:rowOff>47625</xdr:rowOff>
    </xdr:from>
    <xdr:to>
      <xdr:col>9</xdr:col>
      <xdr:colOff>295275</xdr:colOff>
      <xdr:row>8</xdr:row>
      <xdr:rowOff>9525</xdr:rowOff>
    </xdr:to>
    <xdr:sp macro="" textlink="">
      <xdr:nvSpPr>
        <xdr:cNvPr id="31779" name="Line 35"/>
        <xdr:cNvSpPr>
          <a:spLocks noChangeShapeType="1"/>
        </xdr:cNvSpPr>
      </xdr:nvSpPr>
      <xdr:spPr bwMode="auto">
        <a:xfrm flipV="1">
          <a:off x="5781675" y="352425"/>
          <a:ext cx="0" cy="98107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19050</xdr:colOff>
      <xdr:row>8</xdr:row>
      <xdr:rowOff>0</xdr:rowOff>
    </xdr:from>
    <xdr:to>
      <xdr:col>9</xdr:col>
      <xdr:colOff>266700</xdr:colOff>
      <xdr:row>12</xdr:row>
      <xdr:rowOff>95250</xdr:rowOff>
    </xdr:to>
    <xdr:sp macro="" textlink="">
      <xdr:nvSpPr>
        <xdr:cNvPr id="31780" name="Line 36"/>
        <xdr:cNvSpPr>
          <a:spLocks noChangeShapeType="1"/>
        </xdr:cNvSpPr>
      </xdr:nvSpPr>
      <xdr:spPr bwMode="auto">
        <a:xfrm flipH="1">
          <a:off x="5505450" y="1323975"/>
          <a:ext cx="247650" cy="7810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180975</xdr:colOff>
      <xdr:row>2</xdr:row>
      <xdr:rowOff>76200</xdr:rowOff>
    </xdr:from>
    <xdr:to>
      <xdr:col>9</xdr:col>
      <xdr:colOff>276225</xdr:colOff>
      <xdr:row>2</xdr:row>
      <xdr:rowOff>76200</xdr:rowOff>
    </xdr:to>
    <xdr:sp macro="" textlink="">
      <xdr:nvSpPr>
        <xdr:cNvPr id="31781" name="Line 37"/>
        <xdr:cNvSpPr>
          <a:spLocks noChangeShapeType="1"/>
        </xdr:cNvSpPr>
      </xdr:nvSpPr>
      <xdr:spPr bwMode="auto">
        <a:xfrm>
          <a:off x="2619375" y="381000"/>
          <a:ext cx="31432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285750</xdr:colOff>
      <xdr:row>3</xdr:row>
      <xdr:rowOff>85725</xdr:rowOff>
    </xdr:from>
    <xdr:to>
      <xdr:col>4</xdr:col>
      <xdr:colOff>171450</xdr:colOff>
      <xdr:row>3</xdr:row>
      <xdr:rowOff>85725</xdr:rowOff>
    </xdr:to>
    <xdr:sp macro="" textlink="">
      <xdr:nvSpPr>
        <xdr:cNvPr id="31782" name="Line 38"/>
        <xdr:cNvSpPr>
          <a:spLocks noChangeShapeType="1"/>
        </xdr:cNvSpPr>
      </xdr:nvSpPr>
      <xdr:spPr bwMode="auto">
        <a:xfrm flipH="1">
          <a:off x="2114550" y="561975"/>
          <a:ext cx="4953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266700</xdr:colOff>
      <xdr:row>33</xdr:row>
      <xdr:rowOff>114300</xdr:rowOff>
    </xdr:from>
    <xdr:to>
      <xdr:col>10</xdr:col>
      <xdr:colOff>361950</xdr:colOff>
      <xdr:row>39</xdr:row>
      <xdr:rowOff>95250</xdr:rowOff>
    </xdr:to>
    <xdr:sp macro="" textlink="">
      <xdr:nvSpPr>
        <xdr:cNvPr id="31783" name="AutoShape 39"/>
        <xdr:cNvSpPr>
          <a:spLocks noChangeArrowheads="1"/>
        </xdr:cNvSpPr>
      </xdr:nvSpPr>
      <xdr:spPr bwMode="auto">
        <a:xfrm>
          <a:off x="2095500" y="5657850"/>
          <a:ext cx="4362450" cy="952500"/>
        </a:xfrm>
        <a:custGeom>
          <a:avLst/>
          <a:gdLst>
            <a:gd name="G0" fmla="+- 10519 0 0"/>
            <a:gd name="G1" fmla="+- 11719371 0 0"/>
            <a:gd name="G2" fmla="+- 0 0 11719371"/>
            <a:gd name="T0" fmla="*/ 0 256 1"/>
            <a:gd name="T1" fmla="*/ 180 256 1"/>
            <a:gd name="G3" fmla="+- 11719371 T0 T1"/>
            <a:gd name="T2" fmla="*/ 0 256 1"/>
            <a:gd name="T3" fmla="*/ 90 256 1"/>
            <a:gd name="G4" fmla="+- 11719371 T2 T3"/>
            <a:gd name="G5" fmla="*/ G4 2 1"/>
            <a:gd name="T4" fmla="*/ 90 256 1"/>
            <a:gd name="T5" fmla="*/ 0 256 1"/>
            <a:gd name="G6" fmla="+- 11719371 T4 T5"/>
            <a:gd name="G7" fmla="*/ G6 2 1"/>
            <a:gd name="G8" fmla="abs 11719371"/>
            <a:gd name="T6" fmla="*/ 0 256 1"/>
            <a:gd name="T7" fmla="*/ 90 256 1"/>
            <a:gd name="G9" fmla="+- G8 T6 T7"/>
            <a:gd name="G10" fmla="?: G9 G7 G5"/>
            <a:gd name="T8" fmla="*/ 0 256 1"/>
            <a:gd name="T9" fmla="*/ 360 256 1"/>
            <a:gd name="G11" fmla="+- G10 T8 T9"/>
            <a:gd name="G12" fmla="?: G10 G11 G10"/>
            <a:gd name="T10" fmla="*/ 0 256 1"/>
            <a:gd name="T11" fmla="*/ 360 256 1"/>
            <a:gd name="G13" fmla="+- G12 T10 T11"/>
            <a:gd name="G14" fmla="?: G12 G13 G12"/>
            <a:gd name="G15" fmla="+- 0 0 G14"/>
            <a:gd name="G16" fmla="+- 10800 0 0"/>
            <a:gd name="G17" fmla="+- 10800 0 10519"/>
            <a:gd name="G18" fmla="*/ 10519 1 2"/>
            <a:gd name="G19" fmla="+- G18 5400 0"/>
            <a:gd name="G20" fmla="cos G19 11719371"/>
            <a:gd name="G21" fmla="sin G19 11719371"/>
            <a:gd name="G22" fmla="+- G20 10800 0"/>
            <a:gd name="G23" fmla="+- G21 10800 0"/>
            <a:gd name="G24" fmla="+- 10800 0 G20"/>
            <a:gd name="G25" fmla="+- 10519 10800 0"/>
            <a:gd name="G26" fmla="?: G9 G17 G25"/>
            <a:gd name="G27" fmla="?: G9 0 21600"/>
            <a:gd name="G28" fmla="cos 10800 11719371"/>
            <a:gd name="G29" fmla="sin 10800 11719371"/>
            <a:gd name="G30" fmla="sin 10519 11719371"/>
            <a:gd name="G31" fmla="+- G28 10800 0"/>
            <a:gd name="G32" fmla="+- G29 10800 0"/>
            <a:gd name="G33" fmla="+- G30 10800 0"/>
            <a:gd name="G34" fmla="?: G4 0 G31"/>
            <a:gd name="G35" fmla="?: 11719371 G34 0"/>
            <a:gd name="G36" fmla="?: G6 G35 G31"/>
            <a:gd name="G37" fmla="+- 21600 0 G36"/>
            <a:gd name="G38" fmla="?: G4 0 G33"/>
            <a:gd name="G39" fmla="?: 11719371 G38 G32"/>
            <a:gd name="G40" fmla="?: G6 G39 0"/>
            <a:gd name="G41" fmla="?: G4 G32 21600"/>
            <a:gd name="G42" fmla="?: G6 G41 G33"/>
            <a:gd name="T12" fmla="*/ 10800 w 21600"/>
            <a:gd name="T13" fmla="*/ 0 h 21600"/>
            <a:gd name="T14" fmla="*/ 142 w 21600"/>
            <a:gd name="T15" fmla="*/ 11018 h 21600"/>
            <a:gd name="T16" fmla="*/ 10800 w 21600"/>
            <a:gd name="T17" fmla="*/ 281 h 21600"/>
            <a:gd name="T18" fmla="*/ 21458 w 21600"/>
            <a:gd name="T19" fmla="*/ 11018 h 21600"/>
            <a:gd name="T20" fmla="*/ G36 w 21600"/>
            <a:gd name="T21" fmla="*/ G40 h 21600"/>
            <a:gd name="T22" fmla="*/ G37 w 21600"/>
            <a:gd name="T23" fmla="*/ G42 h 21600"/>
          </a:gdLst>
          <a:ahLst/>
          <a:cxnLst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</a:cxnLst>
          <a:rect l="T20" t="T21" r="T22" b="T23"/>
          <a:pathLst>
            <a:path w="21600" h="21600">
              <a:moveTo>
                <a:pt x="283" y="11015"/>
              </a:moveTo>
              <a:cubicBezTo>
                <a:pt x="281" y="10944"/>
                <a:pt x="281" y="10872"/>
                <a:pt x="281" y="10800"/>
              </a:cubicBezTo>
              <a:cubicBezTo>
                <a:pt x="281" y="4990"/>
                <a:pt x="4990" y="281"/>
                <a:pt x="10800" y="281"/>
              </a:cubicBezTo>
              <a:cubicBezTo>
                <a:pt x="16609" y="281"/>
                <a:pt x="21319" y="4990"/>
                <a:pt x="21319" y="10800"/>
              </a:cubicBezTo>
              <a:cubicBezTo>
                <a:pt x="21319" y="10872"/>
                <a:pt x="21318" y="10944"/>
                <a:pt x="21316" y="11015"/>
              </a:cubicBezTo>
              <a:lnTo>
                <a:pt x="21597" y="11021"/>
              </a:lnTo>
              <a:cubicBezTo>
                <a:pt x="21599" y="10947"/>
                <a:pt x="21600" y="10873"/>
                <a:pt x="21600" y="10800"/>
              </a:cubicBezTo>
              <a:cubicBezTo>
                <a:pt x="21600" y="4835"/>
                <a:pt x="16764" y="0"/>
                <a:pt x="10800" y="0"/>
              </a:cubicBezTo>
              <a:cubicBezTo>
                <a:pt x="4835" y="0"/>
                <a:pt x="0" y="4835"/>
                <a:pt x="0" y="10800"/>
              </a:cubicBezTo>
              <a:cubicBezTo>
                <a:pt x="-1" y="10873"/>
                <a:pt x="0" y="10947"/>
                <a:pt x="2" y="11021"/>
              </a:cubicBezTo>
              <a:close/>
            </a:path>
          </a:pathLst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905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276225</xdr:colOff>
      <xdr:row>36</xdr:row>
      <xdr:rowOff>104775</xdr:rowOff>
    </xdr:from>
    <xdr:to>
      <xdr:col>3</xdr:col>
      <xdr:colOff>323850</xdr:colOff>
      <xdr:row>38</xdr:row>
      <xdr:rowOff>0</xdr:rowOff>
    </xdr:to>
    <xdr:sp macro="" textlink="">
      <xdr:nvSpPr>
        <xdr:cNvPr id="31784" name="Rectangle 40"/>
        <xdr:cNvSpPr>
          <a:spLocks noChangeArrowheads="1"/>
        </xdr:cNvSpPr>
      </xdr:nvSpPr>
      <xdr:spPr bwMode="auto">
        <a:xfrm>
          <a:off x="2105025" y="6134100"/>
          <a:ext cx="47625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905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314325</xdr:colOff>
      <xdr:row>36</xdr:row>
      <xdr:rowOff>123825</xdr:rowOff>
    </xdr:from>
    <xdr:to>
      <xdr:col>10</xdr:col>
      <xdr:colOff>361950</xdr:colOff>
      <xdr:row>38</xdr:row>
      <xdr:rowOff>19050</xdr:rowOff>
    </xdr:to>
    <xdr:sp macro="" textlink="">
      <xdr:nvSpPr>
        <xdr:cNvPr id="31785" name="Rectangle 41"/>
        <xdr:cNvSpPr>
          <a:spLocks noChangeArrowheads="1"/>
        </xdr:cNvSpPr>
      </xdr:nvSpPr>
      <xdr:spPr bwMode="auto">
        <a:xfrm>
          <a:off x="6410325" y="6153150"/>
          <a:ext cx="47625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905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19050</xdr:colOff>
      <xdr:row>31</xdr:row>
      <xdr:rowOff>47625</xdr:rowOff>
    </xdr:from>
    <xdr:to>
      <xdr:col>7</xdr:col>
      <xdr:colOff>19050</xdr:colOff>
      <xdr:row>45</xdr:row>
      <xdr:rowOff>114300</xdr:rowOff>
    </xdr:to>
    <xdr:sp macro="" textlink="">
      <xdr:nvSpPr>
        <xdr:cNvPr id="31786" name="Line 42"/>
        <xdr:cNvSpPr>
          <a:spLocks noChangeShapeType="1"/>
        </xdr:cNvSpPr>
      </xdr:nvSpPr>
      <xdr:spPr bwMode="auto">
        <a:xfrm flipH="1" flipV="1">
          <a:off x="4286250" y="5267325"/>
          <a:ext cx="0" cy="23336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lgDash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161925</xdr:colOff>
      <xdr:row>36</xdr:row>
      <xdr:rowOff>104775</xdr:rowOff>
    </xdr:from>
    <xdr:to>
      <xdr:col>13</xdr:col>
      <xdr:colOff>28575</xdr:colOff>
      <xdr:row>36</xdr:row>
      <xdr:rowOff>104775</xdr:rowOff>
    </xdr:to>
    <xdr:sp macro="" textlink="">
      <xdr:nvSpPr>
        <xdr:cNvPr id="31787" name="Line 43"/>
        <xdr:cNvSpPr>
          <a:spLocks noChangeShapeType="1"/>
        </xdr:cNvSpPr>
      </xdr:nvSpPr>
      <xdr:spPr bwMode="auto">
        <a:xfrm flipV="1">
          <a:off x="771525" y="6134100"/>
          <a:ext cx="71818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lgDash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285750</xdr:colOff>
      <xdr:row>38</xdr:row>
      <xdr:rowOff>0</xdr:rowOff>
    </xdr:from>
    <xdr:to>
      <xdr:col>10</xdr:col>
      <xdr:colOff>295275</xdr:colOff>
      <xdr:row>38</xdr:row>
      <xdr:rowOff>0</xdr:rowOff>
    </xdr:to>
    <xdr:sp macro="" textlink="">
      <xdr:nvSpPr>
        <xdr:cNvPr id="31788" name="Line 44"/>
        <xdr:cNvSpPr>
          <a:spLocks noChangeShapeType="1"/>
        </xdr:cNvSpPr>
      </xdr:nvSpPr>
      <xdr:spPr bwMode="auto">
        <a:xfrm>
          <a:off x="2114550" y="6353175"/>
          <a:ext cx="427672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</xdr:col>
      <xdr:colOff>247650</xdr:colOff>
      <xdr:row>35</xdr:row>
      <xdr:rowOff>66675</xdr:rowOff>
    </xdr:from>
    <xdr:ext cx="876300" cy="200025"/>
    <xdr:sp macro="" textlink="">
      <xdr:nvSpPr>
        <xdr:cNvPr id="31789" name="Text Box 45"/>
        <xdr:cNvSpPr txBox="1">
          <a:spLocks noChangeArrowheads="1"/>
        </xdr:cNvSpPr>
      </xdr:nvSpPr>
      <xdr:spPr bwMode="auto">
        <a:xfrm>
          <a:off x="857250" y="5934075"/>
          <a:ext cx="8763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Tangent Line</a:t>
          </a:r>
        </a:p>
      </xdr:txBody>
    </xdr:sp>
    <xdr:clientData/>
  </xdr:oneCellAnchor>
  <xdr:twoCellAnchor>
    <xdr:from>
      <xdr:col>10</xdr:col>
      <xdr:colOff>390525</xdr:colOff>
      <xdr:row>37</xdr:row>
      <xdr:rowOff>152400</xdr:rowOff>
    </xdr:from>
    <xdr:to>
      <xdr:col>11</xdr:col>
      <xdr:colOff>457200</xdr:colOff>
      <xdr:row>37</xdr:row>
      <xdr:rowOff>152400</xdr:rowOff>
    </xdr:to>
    <xdr:sp macro="" textlink="">
      <xdr:nvSpPr>
        <xdr:cNvPr id="31790" name="Line 46"/>
        <xdr:cNvSpPr>
          <a:spLocks noChangeShapeType="1"/>
        </xdr:cNvSpPr>
      </xdr:nvSpPr>
      <xdr:spPr bwMode="auto">
        <a:xfrm>
          <a:off x="6486525" y="6343650"/>
          <a:ext cx="6762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400050</xdr:colOff>
      <xdr:row>37</xdr:row>
      <xdr:rowOff>142875</xdr:rowOff>
    </xdr:from>
    <xdr:to>
      <xdr:col>11</xdr:col>
      <xdr:colOff>400050</xdr:colOff>
      <xdr:row>40</xdr:row>
      <xdr:rowOff>28575</xdr:rowOff>
    </xdr:to>
    <xdr:sp macro="" textlink="">
      <xdr:nvSpPr>
        <xdr:cNvPr id="31791" name="Line 47"/>
        <xdr:cNvSpPr>
          <a:spLocks noChangeShapeType="1"/>
        </xdr:cNvSpPr>
      </xdr:nvSpPr>
      <xdr:spPr bwMode="auto">
        <a:xfrm>
          <a:off x="7105650" y="6334125"/>
          <a:ext cx="0" cy="37147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504825</xdr:colOff>
      <xdr:row>35</xdr:row>
      <xdr:rowOff>85725</xdr:rowOff>
    </xdr:from>
    <xdr:to>
      <xdr:col>4</xdr:col>
      <xdr:colOff>95250</xdr:colOff>
      <xdr:row>36</xdr:row>
      <xdr:rowOff>104775</xdr:rowOff>
    </xdr:to>
    <xdr:sp macro="" textlink="">
      <xdr:nvSpPr>
        <xdr:cNvPr id="31792" name="Line 48"/>
        <xdr:cNvSpPr>
          <a:spLocks noChangeShapeType="1"/>
        </xdr:cNvSpPr>
      </xdr:nvSpPr>
      <xdr:spPr bwMode="auto">
        <a:xfrm>
          <a:off x="2333625" y="5953125"/>
          <a:ext cx="200025" cy="18097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400050</xdr:colOff>
      <xdr:row>36</xdr:row>
      <xdr:rowOff>104775</xdr:rowOff>
    </xdr:from>
    <xdr:to>
      <xdr:col>11</xdr:col>
      <xdr:colOff>400050</xdr:colOff>
      <xdr:row>38</xdr:row>
      <xdr:rowOff>0</xdr:rowOff>
    </xdr:to>
    <xdr:sp macro="" textlink="">
      <xdr:nvSpPr>
        <xdr:cNvPr id="31793" name="Line 49"/>
        <xdr:cNvSpPr>
          <a:spLocks noChangeShapeType="1"/>
        </xdr:cNvSpPr>
      </xdr:nvSpPr>
      <xdr:spPr bwMode="auto">
        <a:xfrm>
          <a:off x="7105650" y="6134100"/>
          <a:ext cx="0" cy="21907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381000</xdr:colOff>
      <xdr:row>33</xdr:row>
      <xdr:rowOff>142875</xdr:rowOff>
    </xdr:from>
    <xdr:to>
      <xdr:col>11</xdr:col>
      <xdr:colOff>400050</xdr:colOff>
      <xdr:row>36</xdr:row>
      <xdr:rowOff>104775</xdr:rowOff>
    </xdr:to>
    <xdr:sp macro="" textlink="">
      <xdr:nvSpPr>
        <xdr:cNvPr id="31794" name="Line 50"/>
        <xdr:cNvSpPr>
          <a:spLocks noChangeShapeType="1"/>
        </xdr:cNvSpPr>
      </xdr:nvSpPr>
      <xdr:spPr bwMode="auto">
        <a:xfrm>
          <a:off x="7086600" y="5686425"/>
          <a:ext cx="19050" cy="44767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400050</xdr:colOff>
      <xdr:row>37</xdr:row>
      <xdr:rowOff>47625</xdr:rowOff>
    </xdr:from>
    <xdr:to>
      <xdr:col>12</xdr:col>
      <xdr:colOff>438150</xdr:colOff>
      <xdr:row>39</xdr:row>
      <xdr:rowOff>28575</xdr:rowOff>
    </xdr:to>
    <xdr:sp macro="" textlink="">
      <xdr:nvSpPr>
        <xdr:cNvPr id="31795" name="Line 51"/>
        <xdr:cNvSpPr>
          <a:spLocks noChangeShapeType="1"/>
        </xdr:cNvSpPr>
      </xdr:nvSpPr>
      <xdr:spPr bwMode="auto">
        <a:xfrm>
          <a:off x="7105650" y="6238875"/>
          <a:ext cx="647700" cy="30480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oval" w="med" len="med"/>
          <a:tailEnd type="oval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428625</xdr:colOff>
      <xdr:row>37</xdr:row>
      <xdr:rowOff>0</xdr:rowOff>
    </xdr:from>
    <xdr:to>
      <xdr:col>13</xdr:col>
      <xdr:colOff>552450</xdr:colOff>
      <xdr:row>43</xdr:row>
      <xdr:rowOff>9525</xdr:rowOff>
    </xdr:to>
    <xdr:sp macro="" textlink="">
      <xdr:nvSpPr>
        <xdr:cNvPr id="31796" name="Rectangle 52"/>
        <xdr:cNvSpPr>
          <a:spLocks noChangeArrowheads="1"/>
        </xdr:cNvSpPr>
      </xdr:nvSpPr>
      <xdr:spPr bwMode="auto">
        <a:xfrm>
          <a:off x="7743825" y="6191250"/>
          <a:ext cx="733425" cy="98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12</xdr:col>
      <xdr:colOff>457200</xdr:colOff>
      <xdr:row>37</xdr:row>
      <xdr:rowOff>9525</xdr:rowOff>
    </xdr:from>
    <xdr:to>
      <xdr:col>13</xdr:col>
      <xdr:colOff>485775</xdr:colOff>
      <xdr:row>42</xdr:row>
      <xdr:rowOff>123825</xdr:rowOff>
    </xdr:to>
    <xdr:sp macro="" textlink="">
      <xdr:nvSpPr>
        <xdr:cNvPr id="31797" name="Text Box 53"/>
        <xdr:cNvSpPr txBox="1">
          <a:spLocks noChangeArrowheads="1"/>
        </xdr:cNvSpPr>
      </xdr:nvSpPr>
      <xdr:spPr bwMode="auto">
        <a:xfrm>
          <a:off x="7772400" y="6200775"/>
          <a:ext cx="63817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Straight</a:t>
          </a:r>
        </a:p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Flange</a:t>
          </a:r>
        </a:p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Varies</a:t>
          </a:r>
        </a:p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2" Nom.</a:t>
          </a:r>
        </a:p>
        <a:p>
          <a:pPr algn="ctr" rtl="0">
            <a:defRPr sz="1000"/>
          </a:pPr>
          <a:r>
            <a:rPr lang="en-US" sz="1000" b="1" i="0" u="none" strike="noStrike" baseline="0">
              <a:solidFill>
                <a:srgbClr val="FF0000"/>
              </a:solidFill>
              <a:latin typeface="Arial"/>
              <a:cs typeface="Arial"/>
            </a:rPr>
            <a:t>51mm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171450</xdr:colOff>
      <xdr:row>33</xdr:row>
      <xdr:rowOff>104775</xdr:rowOff>
    </xdr:from>
    <xdr:to>
      <xdr:col>3</xdr:col>
      <xdr:colOff>495300</xdr:colOff>
      <xdr:row>35</xdr:row>
      <xdr:rowOff>76200</xdr:rowOff>
    </xdr:to>
    <xdr:sp macro="" textlink="">
      <xdr:nvSpPr>
        <xdr:cNvPr id="31798" name="Line 54"/>
        <xdr:cNvSpPr>
          <a:spLocks noChangeShapeType="1"/>
        </xdr:cNvSpPr>
      </xdr:nvSpPr>
      <xdr:spPr bwMode="auto">
        <a:xfrm flipH="1" flipV="1">
          <a:off x="2000250" y="5648325"/>
          <a:ext cx="323850" cy="29527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57150</xdr:colOff>
      <xdr:row>33</xdr:row>
      <xdr:rowOff>104775</xdr:rowOff>
    </xdr:from>
    <xdr:to>
      <xdr:col>3</xdr:col>
      <xdr:colOff>171450</xdr:colOff>
      <xdr:row>33</xdr:row>
      <xdr:rowOff>104775</xdr:rowOff>
    </xdr:to>
    <xdr:sp macro="" textlink="">
      <xdr:nvSpPr>
        <xdr:cNvPr id="31799" name="Line 55"/>
        <xdr:cNvSpPr>
          <a:spLocks noChangeShapeType="1"/>
        </xdr:cNvSpPr>
      </xdr:nvSpPr>
      <xdr:spPr bwMode="auto">
        <a:xfrm flipH="1">
          <a:off x="1885950" y="5648325"/>
          <a:ext cx="1143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28575</xdr:colOff>
      <xdr:row>34</xdr:row>
      <xdr:rowOff>19050</xdr:rowOff>
    </xdr:from>
    <xdr:to>
      <xdr:col>8</xdr:col>
      <xdr:colOff>428625</xdr:colOff>
      <xdr:row>43</xdr:row>
      <xdr:rowOff>142875</xdr:rowOff>
    </xdr:to>
    <xdr:sp macro="" textlink="">
      <xdr:nvSpPr>
        <xdr:cNvPr id="31800" name="Line 56"/>
        <xdr:cNvSpPr>
          <a:spLocks noChangeShapeType="1"/>
        </xdr:cNvSpPr>
      </xdr:nvSpPr>
      <xdr:spPr bwMode="auto">
        <a:xfrm flipV="1">
          <a:off x="4295775" y="5724525"/>
          <a:ext cx="1009650" cy="15811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457200</xdr:colOff>
      <xdr:row>31</xdr:row>
      <xdr:rowOff>95250</xdr:rowOff>
    </xdr:from>
    <xdr:to>
      <xdr:col>9</xdr:col>
      <xdr:colOff>104775</xdr:colOff>
      <xdr:row>34</xdr:row>
      <xdr:rowOff>0</xdr:rowOff>
    </xdr:to>
    <xdr:sp macro="" textlink="">
      <xdr:nvSpPr>
        <xdr:cNvPr id="31801" name="Line 57"/>
        <xdr:cNvSpPr>
          <a:spLocks noChangeShapeType="1"/>
        </xdr:cNvSpPr>
      </xdr:nvSpPr>
      <xdr:spPr bwMode="auto">
        <a:xfrm flipV="1">
          <a:off x="5334000" y="5314950"/>
          <a:ext cx="257175" cy="3905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104775</xdr:colOff>
      <xdr:row>31</xdr:row>
      <xdr:rowOff>95250</xdr:rowOff>
    </xdr:from>
    <xdr:to>
      <xdr:col>9</xdr:col>
      <xdr:colOff>285750</xdr:colOff>
      <xdr:row>31</xdr:row>
      <xdr:rowOff>95250</xdr:rowOff>
    </xdr:to>
    <xdr:sp macro="" textlink="">
      <xdr:nvSpPr>
        <xdr:cNvPr id="31802" name="Line 58"/>
        <xdr:cNvSpPr>
          <a:spLocks noChangeShapeType="1"/>
        </xdr:cNvSpPr>
      </xdr:nvSpPr>
      <xdr:spPr bwMode="auto">
        <a:xfrm>
          <a:off x="5591175" y="5314950"/>
          <a:ext cx="1809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504825</xdr:colOff>
      <xdr:row>39</xdr:row>
      <xdr:rowOff>38100</xdr:rowOff>
    </xdr:from>
    <xdr:to>
      <xdr:col>8</xdr:col>
      <xdr:colOff>190500</xdr:colOff>
      <xdr:row>40</xdr:row>
      <xdr:rowOff>66675</xdr:rowOff>
    </xdr:to>
    <xdr:sp macro="" textlink="">
      <xdr:nvSpPr>
        <xdr:cNvPr id="31805" name="Line 61"/>
        <xdr:cNvSpPr>
          <a:spLocks noChangeShapeType="1"/>
        </xdr:cNvSpPr>
      </xdr:nvSpPr>
      <xdr:spPr bwMode="auto">
        <a:xfrm>
          <a:off x="4772025" y="6553200"/>
          <a:ext cx="295275" cy="19050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oval" w="med" len="med"/>
          <a:tailEnd type="oval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323850</xdr:colOff>
      <xdr:row>30</xdr:row>
      <xdr:rowOff>142875</xdr:rowOff>
    </xdr:from>
    <xdr:ext cx="1266825" cy="238125"/>
    <xdr:sp macro="" textlink="">
      <xdr:nvSpPr>
        <xdr:cNvPr id="31806" name="Text Box 62"/>
        <xdr:cNvSpPr txBox="1">
          <a:spLocks noChangeArrowheads="1"/>
        </xdr:cNvSpPr>
      </xdr:nvSpPr>
      <xdr:spPr bwMode="auto">
        <a:xfrm>
          <a:off x="5810250" y="5200650"/>
          <a:ext cx="12668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Wall Thickness </a:t>
          </a: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"T"</a:t>
          </a:r>
        </a:p>
      </xdr:txBody>
    </xdr:sp>
    <xdr:clientData/>
  </xdr:oneCellAnchor>
  <xdr:oneCellAnchor>
    <xdr:from>
      <xdr:col>1</xdr:col>
      <xdr:colOff>600075</xdr:colOff>
      <xdr:row>32</xdr:row>
      <xdr:rowOff>9525</xdr:rowOff>
    </xdr:from>
    <xdr:ext cx="1009650" cy="400050"/>
    <xdr:sp macro="" textlink="">
      <xdr:nvSpPr>
        <xdr:cNvPr id="31807" name="Text Box 63"/>
        <xdr:cNvSpPr txBox="1">
          <a:spLocks noChangeArrowheads="1"/>
        </xdr:cNvSpPr>
      </xdr:nvSpPr>
      <xdr:spPr bwMode="auto">
        <a:xfrm>
          <a:off x="1209675" y="5391150"/>
          <a:ext cx="10096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18288" bIns="0" anchor="t" upright="1">
          <a:spAutoFit/>
        </a:bodyPr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Knuckle Radius</a:t>
          </a:r>
        </a:p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"</a:t>
          </a: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R2"</a:t>
          </a:r>
        </a:p>
      </xdr:txBody>
    </xdr:sp>
    <xdr:clientData/>
  </xdr:oneCellAnchor>
  <xdr:oneCellAnchor>
    <xdr:from>
      <xdr:col>8</xdr:col>
      <xdr:colOff>266700</xdr:colOff>
      <xdr:row>39</xdr:row>
      <xdr:rowOff>142875</xdr:rowOff>
    </xdr:from>
    <xdr:ext cx="781050" cy="400050"/>
    <xdr:sp macro="" textlink="">
      <xdr:nvSpPr>
        <xdr:cNvPr id="31808" name="Text Box 64"/>
        <xdr:cNvSpPr txBox="1">
          <a:spLocks noChangeArrowheads="1"/>
        </xdr:cNvSpPr>
      </xdr:nvSpPr>
      <xdr:spPr bwMode="auto">
        <a:xfrm>
          <a:off x="5143500" y="6657975"/>
          <a:ext cx="7810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18288" bIns="0" anchor="t" upright="1">
          <a:spAutoFit/>
        </a:bodyPr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Dish Radius</a:t>
          </a:r>
        </a:p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"</a:t>
          </a: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R1"</a:t>
          </a:r>
        </a:p>
      </xdr:txBody>
    </xdr:sp>
    <xdr:clientData/>
  </xdr:oneCellAnchor>
  <xdr:twoCellAnchor>
    <xdr:from>
      <xdr:col>9</xdr:col>
      <xdr:colOff>571500</xdr:colOff>
      <xdr:row>35</xdr:row>
      <xdr:rowOff>104775</xdr:rowOff>
    </xdr:from>
    <xdr:to>
      <xdr:col>10</xdr:col>
      <xdr:colOff>142875</xdr:colOff>
      <xdr:row>36</xdr:row>
      <xdr:rowOff>104775</xdr:rowOff>
    </xdr:to>
    <xdr:sp macro="" textlink="">
      <xdr:nvSpPr>
        <xdr:cNvPr id="31809" name="Line 65"/>
        <xdr:cNvSpPr>
          <a:spLocks noChangeShapeType="1"/>
        </xdr:cNvSpPr>
      </xdr:nvSpPr>
      <xdr:spPr bwMode="auto">
        <a:xfrm flipH="1">
          <a:off x="6057900" y="5972175"/>
          <a:ext cx="180975" cy="1619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104775</xdr:colOff>
      <xdr:row>29</xdr:row>
      <xdr:rowOff>95250</xdr:rowOff>
    </xdr:from>
    <xdr:to>
      <xdr:col>4</xdr:col>
      <xdr:colOff>104775</xdr:colOff>
      <xdr:row>36</xdr:row>
      <xdr:rowOff>114300</xdr:rowOff>
    </xdr:to>
    <xdr:sp macro="" textlink="">
      <xdr:nvSpPr>
        <xdr:cNvPr id="31810" name="Line 66"/>
        <xdr:cNvSpPr>
          <a:spLocks noChangeShapeType="1"/>
        </xdr:cNvSpPr>
      </xdr:nvSpPr>
      <xdr:spPr bwMode="auto">
        <a:xfrm flipV="1">
          <a:off x="2543175" y="4991100"/>
          <a:ext cx="0" cy="11525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lgDash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552450</xdr:colOff>
      <xdr:row>32</xdr:row>
      <xdr:rowOff>85725</xdr:rowOff>
    </xdr:from>
    <xdr:to>
      <xdr:col>9</xdr:col>
      <xdr:colOff>561975</xdr:colOff>
      <xdr:row>36</xdr:row>
      <xdr:rowOff>123825</xdr:rowOff>
    </xdr:to>
    <xdr:sp macro="" textlink="">
      <xdr:nvSpPr>
        <xdr:cNvPr id="31811" name="Line 67"/>
        <xdr:cNvSpPr>
          <a:spLocks noChangeShapeType="1"/>
        </xdr:cNvSpPr>
      </xdr:nvSpPr>
      <xdr:spPr bwMode="auto">
        <a:xfrm flipH="1" flipV="1">
          <a:off x="6038850" y="5467350"/>
          <a:ext cx="9525" cy="68580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lgDash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542925</xdr:colOff>
      <xdr:row>29</xdr:row>
      <xdr:rowOff>133350</xdr:rowOff>
    </xdr:from>
    <xdr:to>
      <xdr:col>9</xdr:col>
      <xdr:colOff>542925</xdr:colOff>
      <xdr:row>30</xdr:row>
      <xdr:rowOff>142875</xdr:rowOff>
    </xdr:to>
    <xdr:sp macro="" textlink="">
      <xdr:nvSpPr>
        <xdr:cNvPr id="31812" name="Line 68"/>
        <xdr:cNvSpPr>
          <a:spLocks noChangeShapeType="1"/>
        </xdr:cNvSpPr>
      </xdr:nvSpPr>
      <xdr:spPr bwMode="auto">
        <a:xfrm flipH="1" flipV="1">
          <a:off x="6029325" y="5029200"/>
          <a:ext cx="0" cy="1714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lgDash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114300</xdr:colOff>
      <xdr:row>30</xdr:row>
      <xdr:rowOff>9525</xdr:rowOff>
    </xdr:from>
    <xdr:to>
      <xdr:col>9</xdr:col>
      <xdr:colOff>523875</xdr:colOff>
      <xdr:row>30</xdr:row>
      <xdr:rowOff>9525</xdr:rowOff>
    </xdr:to>
    <xdr:sp macro="" textlink="">
      <xdr:nvSpPr>
        <xdr:cNvPr id="31813" name="Line 69"/>
        <xdr:cNvSpPr>
          <a:spLocks noChangeShapeType="1"/>
        </xdr:cNvSpPr>
      </xdr:nvSpPr>
      <xdr:spPr bwMode="auto">
        <a:xfrm>
          <a:off x="2552700" y="5067300"/>
          <a:ext cx="34575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5</xdr:col>
      <xdr:colOff>447675</xdr:colOff>
      <xdr:row>29</xdr:row>
      <xdr:rowOff>0</xdr:rowOff>
    </xdr:from>
    <xdr:ext cx="1714500" cy="200025"/>
    <xdr:sp macro="" textlink="">
      <xdr:nvSpPr>
        <xdr:cNvPr id="31814" name="Text Box 70"/>
        <xdr:cNvSpPr txBox="1">
          <a:spLocks noChangeArrowheads="1"/>
        </xdr:cNvSpPr>
      </xdr:nvSpPr>
      <xdr:spPr bwMode="auto">
        <a:xfrm>
          <a:off x="3495675" y="4895850"/>
          <a:ext cx="17145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Area for nozzle attachment</a:t>
          </a:r>
        </a:p>
      </xdr:txBody>
    </xdr:sp>
    <xdr:clientData/>
  </xdr:oneCellAnchor>
  <xdr:oneCellAnchor>
    <xdr:from>
      <xdr:col>6</xdr:col>
      <xdr:colOff>66675</xdr:colOff>
      <xdr:row>30</xdr:row>
      <xdr:rowOff>38100</xdr:rowOff>
    </xdr:from>
    <xdr:ext cx="971550" cy="200025"/>
    <xdr:sp macro="" textlink="">
      <xdr:nvSpPr>
        <xdr:cNvPr id="31815" name="Text Box 71"/>
        <xdr:cNvSpPr txBox="1">
          <a:spLocks noChangeArrowheads="1"/>
        </xdr:cNvSpPr>
      </xdr:nvSpPr>
      <xdr:spPr bwMode="auto">
        <a:xfrm>
          <a:off x="3724275" y="5095875"/>
          <a:ext cx="9715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O.D. - (R2+T)x2</a:t>
          </a:r>
        </a:p>
      </xdr:txBody>
    </xdr:sp>
    <xdr:clientData/>
  </xdr:oneCellAnchor>
  <xdr:twoCellAnchor>
    <xdr:from>
      <xdr:col>3</xdr:col>
      <xdr:colOff>266700</xdr:colOff>
      <xdr:row>38</xdr:row>
      <xdr:rowOff>47625</xdr:rowOff>
    </xdr:from>
    <xdr:to>
      <xdr:col>3</xdr:col>
      <xdr:colOff>266700</xdr:colOff>
      <xdr:row>48</xdr:row>
      <xdr:rowOff>0</xdr:rowOff>
    </xdr:to>
    <xdr:sp macro="" textlink="">
      <xdr:nvSpPr>
        <xdr:cNvPr id="31816" name="Line 72"/>
        <xdr:cNvSpPr>
          <a:spLocks noChangeShapeType="1"/>
        </xdr:cNvSpPr>
      </xdr:nvSpPr>
      <xdr:spPr bwMode="auto">
        <a:xfrm>
          <a:off x="2095500" y="6400800"/>
          <a:ext cx="0" cy="15716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352425</xdr:colOff>
      <xdr:row>38</xdr:row>
      <xdr:rowOff>66675</xdr:rowOff>
    </xdr:from>
    <xdr:to>
      <xdr:col>10</xdr:col>
      <xdr:colOff>352425</xdr:colOff>
      <xdr:row>48</xdr:row>
      <xdr:rowOff>28575</xdr:rowOff>
    </xdr:to>
    <xdr:sp macro="" textlink="">
      <xdr:nvSpPr>
        <xdr:cNvPr id="31817" name="Line 73"/>
        <xdr:cNvSpPr>
          <a:spLocks noChangeShapeType="1"/>
        </xdr:cNvSpPr>
      </xdr:nvSpPr>
      <xdr:spPr bwMode="auto">
        <a:xfrm>
          <a:off x="6448425" y="6419850"/>
          <a:ext cx="0" cy="15811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247650</xdr:colOff>
      <xdr:row>47</xdr:row>
      <xdr:rowOff>95250</xdr:rowOff>
    </xdr:from>
    <xdr:to>
      <xdr:col>10</xdr:col>
      <xdr:colOff>342900</xdr:colOff>
      <xdr:row>47</xdr:row>
      <xdr:rowOff>95250</xdr:rowOff>
    </xdr:to>
    <xdr:sp macro="" textlink="">
      <xdr:nvSpPr>
        <xdr:cNvPr id="31818" name="Line 74"/>
        <xdr:cNvSpPr>
          <a:spLocks noChangeShapeType="1"/>
        </xdr:cNvSpPr>
      </xdr:nvSpPr>
      <xdr:spPr bwMode="auto">
        <a:xfrm>
          <a:off x="2076450" y="7905750"/>
          <a:ext cx="43624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5</xdr:col>
      <xdr:colOff>371475</xdr:colOff>
      <xdr:row>46</xdr:row>
      <xdr:rowOff>47625</xdr:rowOff>
    </xdr:from>
    <xdr:ext cx="1495425" cy="200025"/>
    <xdr:sp macro="" textlink="">
      <xdr:nvSpPr>
        <xdr:cNvPr id="31819" name="Text Box 75"/>
        <xdr:cNvSpPr txBox="1">
          <a:spLocks noChangeArrowheads="1"/>
        </xdr:cNvSpPr>
      </xdr:nvSpPr>
      <xdr:spPr bwMode="auto">
        <a:xfrm>
          <a:off x="3419475" y="7696200"/>
          <a:ext cx="14954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Outside Diameter (O.D.)</a:t>
          </a:r>
        </a:p>
      </xdr:txBody>
    </xdr:sp>
    <xdr:clientData/>
  </xdr:oneCellAnchor>
  <xdr:oneCellAnchor>
    <xdr:from>
      <xdr:col>5</xdr:col>
      <xdr:colOff>142875</xdr:colOff>
      <xdr:row>48</xdr:row>
      <xdr:rowOff>38100</xdr:rowOff>
    </xdr:from>
    <xdr:ext cx="2352675" cy="266700"/>
    <xdr:sp macro="" textlink="">
      <xdr:nvSpPr>
        <xdr:cNvPr id="31820" name="Text Box 76"/>
        <xdr:cNvSpPr txBox="1">
          <a:spLocks noChangeArrowheads="1"/>
        </xdr:cNvSpPr>
      </xdr:nvSpPr>
      <xdr:spPr bwMode="auto">
        <a:xfrm>
          <a:off x="3190875" y="8010525"/>
          <a:ext cx="23526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400" b="1" i="0" u="sng" strike="noStrike" baseline="0">
              <a:solidFill>
                <a:srgbClr val="0000FF"/>
              </a:solidFill>
              <a:latin typeface="Arial"/>
              <a:cs typeface="Arial"/>
            </a:rPr>
            <a:t>Flanged and Dished Head</a:t>
          </a:r>
        </a:p>
      </xdr:txBody>
    </xdr:sp>
    <xdr:clientData/>
  </xdr:oneCellAnchor>
  <xdr:twoCellAnchor>
    <xdr:from>
      <xdr:col>7</xdr:col>
      <xdr:colOff>19050</xdr:colOff>
      <xdr:row>33</xdr:row>
      <xdr:rowOff>133350</xdr:rowOff>
    </xdr:from>
    <xdr:to>
      <xdr:col>11</xdr:col>
      <xdr:colOff>552450</xdr:colOff>
      <xdr:row>33</xdr:row>
      <xdr:rowOff>133350</xdr:rowOff>
    </xdr:to>
    <xdr:sp macro="" textlink="">
      <xdr:nvSpPr>
        <xdr:cNvPr id="31821" name="Line 77"/>
        <xdr:cNvSpPr>
          <a:spLocks noChangeShapeType="1"/>
        </xdr:cNvSpPr>
      </xdr:nvSpPr>
      <xdr:spPr bwMode="auto">
        <a:xfrm>
          <a:off x="4286250" y="5676900"/>
          <a:ext cx="29718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333375</xdr:colOff>
      <xdr:row>32</xdr:row>
      <xdr:rowOff>19050</xdr:rowOff>
    </xdr:from>
    <xdr:to>
      <xdr:col>13</xdr:col>
      <xdr:colOff>581025</xdr:colOff>
      <xdr:row>35</xdr:row>
      <xdr:rowOff>104775</xdr:rowOff>
    </xdr:to>
    <xdr:sp macro="" textlink="">
      <xdr:nvSpPr>
        <xdr:cNvPr id="31822" name="Rectangle 78"/>
        <xdr:cNvSpPr>
          <a:spLocks noChangeArrowheads="1"/>
        </xdr:cNvSpPr>
      </xdr:nvSpPr>
      <xdr:spPr bwMode="auto">
        <a:xfrm>
          <a:off x="7648575" y="5400675"/>
          <a:ext cx="857250" cy="571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Inside Depth</a:t>
          </a:r>
        </a:p>
        <a:p>
          <a:pPr algn="l" rtl="0">
            <a:defRPr sz="1000"/>
          </a:pPr>
          <a:r>
            <a:rPr lang="en-US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of Dish</a:t>
          </a:r>
        </a:p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"</a:t>
          </a: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IDD"</a:t>
          </a:r>
        </a:p>
      </xdr:txBody>
    </xdr:sp>
    <xdr:clientData/>
  </xdr:twoCellAnchor>
  <xdr:twoCellAnchor>
    <xdr:from>
      <xdr:col>11</xdr:col>
      <xdr:colOff>390525</xdr:colOff>
      <xdr:row>33</xdr:row>
      <xdr:rowOff>133350</xdr:rowOff>
    </xdr:from>
    <xdr:to>
      <xdr:col>12</xdr:col>
      <xdr:colOff>314325</xdr:colOff>
      <xdr:row>35</xdr:row>
      <xdr:rowOff>47625</xdr:rowOff>
    </xdr:to>
    <xdr:sp macro="" textlink="">
      <xdr:nvSpPr>
        <xdr:cNvPr id="31824" name="Line 80"/>
        <xdr:cNvSpPr>
          <a:spLocks noChangeShapeType="1"/>
        </xdr:cNvSpPr>
      </xdr:nvSpPr>
      <xdr:spPr bwMode="auto">
        <a:xfrm flipV="1">
          <a:off x="7096125" y="5676900"/>
          <a:ext cx="533400" cy="2381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oval" w="med" len="med"/>
          <a:tailEnd type="oval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</xdr:col>
      <xdr:colOff>161925</xdr:colOff>
      <xdr:row>53</xdr:row>
      <xdr:rowOff>66675</xdr:rowOff>
    </xdr:from>
    <xdr:ext cx="342900" cy="238125"/>
    <xdr:sp macro="" textlink="">
      <xdr:nvSpPr>
        <xdr:cNvPr id="31825" name="Text Box 81"/>
        <xdr:cNvSpPr txBox="1">
          <a:spLocks noChangeArrowheads="1"/>
        </xdr:cNvSpPr>
      </xdr:nvSpPr>
      <xdr:spPr bwMode="auto">
        <a:xfrm>
          <a:off x="771525" y="8886825"/>
          <a:ext cx="3429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0000FF"/>
              </a:solidFill>
              <a:latin typeface="Arial"/>
              <a:cs typeface="Arial"/>
            </a:rPr>
            <a:t>26"</a:t>
          </a:r>
        </a:p>
      </xdr:txBody>
    </xdr:sp>
    <xdr:clientData/>
  </xdr:oneCellAnchor>
  <xdr:oneCellAnchor>
    <xdr:from>
      <xdr:col>1</xdr:col>
      <xdr:colOff>152400</xdr:colOff>
      <xdr:row>57</xdr:row>
      <xdr:rowOff>57150</xdr:rowOff>
    </xdr:from>
    <xdr:ext cx="342900" cy="238125"/>
    <xdr:sp macro="" textlink="">
      <xdr:nvSpPr>
        <xdr:cNvPr id="31826" name="Text Box 82"/>
        <xdr:cNvSpPr txBox="1">
          <a:spLocks noChangeArrowheads="1"/>
        </xdr:cNvSpPr>
      </xdr:nvSpPr>
      <xdr:spPr bwMode="auto">
        <a:xfrm>
          <a:off x="762000" y="9544050"/>
          <a:ext cx="3429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0000FF"/>
              </a:solidFill>
              <a:latin typeface="Arial"/>
              <a:cs typeface="Arial"/>
            </a:rPr>
            <a:t>28"</a:t>
          </a:r>
        </a:p>
      </xdr:txBody>
    </xdr:sp>
    <xdr:clientData/>
  </xdr:oneCellAnchor>
  <xdr:oneCellAnchor>
    <xdr:from>
      <xdr:col>1</xdr:col>
      <xdr:colOff>133350</xdr:colOff>
      <xdr:row>61</xdr:row>
      <xdr:rowOff>19050</xdr:rowOff>
    </xdr:from>
    <xdr:ext cx="342900" cy="238125"/>
    <xdr:sp macro="" textlink="">
      <xdr:nvSpPr>
        <xdr:cNvPr id="31827" name="Text Box 83"/>
        <xdr:cNvSpPr txBox="1">
          <a:spLocks noChangeArrowheads="1"/>
        </xdr:cNvSpPr>
      </xdr:nvSpPr>
      <xdr:spPr bwMode="auto">
        <a:xfrm>
          <a:off x="742950" y="10172700"/>
          <a:ext cx="3429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0000FF"/>
              </a:solidFill>
              <a:latin typeface="Arial"/>
              <a:cs typeface="Arial"/>
            </a:rPr>
            <a:t>30"</a:t>
          </a:r>
        </a:p>
      </xdr:txBody>
    </xdr:sp>
    <xdr:clientData/>
  </xdr:oneCellAnchor>
  <xdr:oneCellAnchor>
    <xdr:from>
      <xdr:col>1</xdr:col>
      <xdr:colOff>133350</xdr:colOff>
      <xdr:row>65</xdr:row>
      <xdr:rowOff>57150</xdr:rowOff>
    </xdr:from>
    <xdr:ext cx="342900" cy="238125"/>
    <xdr:sp macro="" textlink="">
      <xdr:nvSpPr>
        <xdr:cNvPr id="31828" name="Text Box 84"/>
        <xdr:cNvSpPr txBox="1">
          <a:spLocks noChangeArrowheads="1"/>
        </xdr:cNvSpPr>
      </xdr:nvSpPr>
      <xdr:spPr bwMode="auto">
        <a:xfrm>
          <a:off x="742950" y="10877550"/>
          <a:ext cx="3429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0000FF"/>
              </a:solidFill>
              <a:latin typeface="Arial"/>
              <a:cs typeface="Arial"/>
            </a:rPr>
            <a:t>32"</a:t>
          </a:r>
        </a:p>
      </xdr:txBody>
    </xdr:sp>
    <xdr:clientData/>
  </xdr:oneCellAnchor>
  <xdr:oneCellAnchor>
    <xdr:from>
      <xdr:col>1</xdr:col>
      <xdr:colOff>133350</xdr:colOff>
      <xdr:row>69</xdr:row>
      <xdr:rowOff>47625</xdr:rowOff>
    </xdr:from>
    <xdr:ext cx="342900" cy="238125"/>
    <xdr:sp macro="" textlink="">
      <xdr:nvSpPr>
        <xdr:cNvPr id="31829" name="Text Box 85"/>
        <xdr:cNvSpPr txBox="1">
          <a:spLocks noChangeArrowheads="1"/>
        </xdr:cNvSpPr>
      </xdr:nvSpPr>
      <xdr:spPr bwMode="auto">
        <a:xfrm>
          <a:off x="742950" y="11534775"/>
          <a:ext cx="3429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0000FF"/>
              </a:solidFill>
              <a:latin typeface="Arial"/>
              <a:cs typeface="Arial"/>
            </a:rPr>
            <a:t>34"</a:t>
          </a:r>
        </a:p>
      </xdr:txBody>
    </xdr:sp>
    <xdr:clientData/>
  </xdr:oneCellAnchor>
  <xdr:oneCellAnchor>
    <xdr:from>
      <xdr:col>1</xdr:col>
      <xdr:colOff>133350</xdr:colOff>
      <xdr:row>73</xdr:row>
      <xdr:rowOff>57150</xdr:rowOff>
    </xdr:from>
    <xdr:ext cx="342900" cy="238125"/>
    <xdr:sp macro="" textlink="">
      <xdr:nvSpPr>
        <xdr:cNvPr id="31830" name="Text Box 86"/>
        <xdr:cNvSpPr txBox="1">
          <a:spLocks noChangeArrowheads="1"/>
        </xdr:cNvSpPr>
      </xdr:nvSpPr>
      <xdr:spPr bwMode="auto">
        <a:xfrm>
          <a:off x="742950" y="12211050"/>
          <a:ext cx="3429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0000FF"/>
              </a:solidFill>
              <a:latin typeface="Arial"/>
              <a:cs typeface="Arial"/>
            </a:rPr>
            <a:t>36"</a:t>
          </a:r>
        </a:p>
      </xdr:txBody>
    </xdr:sp>
    <xdr:clientData/>
  </xdr:oneCellAnchor>
  <xdr:oneCellAnchor>
    <xdr:from>
      <xdr:col>1</xdr:col>
      <xdr:colOff>161925</xdr:colOff>
      <xdr:row>78</xdr:row>
      <xdr:rowOff>66675</xdr:rowOff>
    </xdr:from>
    <xdr:ext cx="342900" cy="238125"/>
    <xdr:sp macro="" textlink="">
      <xdr:nvSpPr>
        <xdr:cNvPr id="31831" name="Text Box 87"/>
        <xdr:cNvSpPr txBox="1">
          <a:spLocks noChangeArrowheads="1"/>
        </xdr:cNvSpPr>
      </xdr:nvSpPr>
      <xdr:spPr bwMode="auto">
        <a:xfrm>
          <a:off x="771525" y="13068300"/>
          <a:ext cx="3429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0000FF"/>
              </a:solidFill>
              <a:latin typeface="Arial"/>
              <a:cs typeface="Arial"/>
            </a:rPr>
            <a:t>38"</a:t>
          </a:r>
        </a:p>
      </xdr:txBody>
    </xdr:sp>
    <xdr:clientData/>
  </xdr:oneCellAnchor>
  <xdr:oneCellAnchor>
    <xdr:from>
      <xdr:col>1</xdr:col>
      <xdr:colOff>152400</xdr:colOff>
      <xdr:row>82</xdr:row>
      <xdr:rowOff>57150</xdr:rowOff>
    </xdr:from>
    <xdr:ext cx="342900" cy="238125"/>
    <xdr:sp macro="" textlink="">
      <xdr:nvSpPr>
        <xdr:cNvPr id="31832" name="Text Box 88"/>
        <xdr:cNvSpPr txBox="1">
          <a:spLocks noChangeArrowheads="1"/>
        </xdr:cNvSpPr>
      </xdr:nvSpPr>
      <xdr:spPr bwMode="auto">
        <a:xfrm>
          <a:off x="762000" y="13725525"/>
          <a:ext cx="3429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0000FF"/>
              </a:solidFill>
              <a:latin typeface="Arial"/>
              <a:cs typeface="Arial"/>
            </a:rPr>
            <a:t>40"</a:t>
          </a:r>
        </a:p>
      </xdr:txBody>
    </xdr:sp>
    <xdr:clientData/>
  </xdr:oneCellAnchor>
  <xdr:oneCellAnchor>
    <xdr:from>
      <xdr:col>1</xdr:col>
      <xdr:colOff>133350</xdr:colOff>
      <xdr:row>86</xdr:row>
      <xdr:rowOff>19050</xdr:rowOff>
    </xdr:from>
    <xdr:ext cx="342900" cy="238125"/>
    <xdr:sp macro="" textlink="">
      <xdr:nvSpPr>
        <xdr:cNvPr id="31833" name="Text Box 89"/>
        <xdr:cNvSpPr txBox="1">
          <a:spLocks noChangeArrowheads="1"/>
        </xdr:cNvSpPr>
      </xdr:nvSpPr>
      <xdr:spPr bwMode="auto">
        <a:xfrm>
          <a:off x="742950" y="14354175"/>
          <a:ext cx="3429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0000FF"/>
              </a:solidFill>
              <a:latin typeface="Arial"/>
              <a:cs typeface="Arial"/>
            </a:rPr>
            <a:t>42"</a:t>
          </a:r>
        </a:p>
      </xdr:txBody>
    </xdr:sp>
    <xdr:clientData/>
  </xdr:oneCellAnchor>
  <xdr:oneCellAnchor>
    <xdr:from>
      <xdr:col>1</xdr:col>
      <xdr:colOff>133350</xdr:colOff>
      <xdr:row>90</xdr:row>
      <xdr:rowOff>57150</xdr:rowOff>
    </xdr:from>
    <xdr:ext cx="342900" cy="238125"/>
    <xdr:sp macro="" textlink="">
      <xdr:nvSpPr>
        <xdr:cNvPr id="31834" name="Text Box 90"/>
        <xdr:cNvSpPr txBox="1">
          <a:spLocks noChangeArrowheads="1"/>
        </xdr:cNvSpPr>
      </xdr:nvSpPr>
      <xdr:spPr bwMode="auto">
        <a:xfrm>
          <a:off x="742950" y="15059025"/>
          <a:ext cx="3429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0000FF"/>
              </a:solidFill>
              <a:latin typeface="Arial"/>
              <a:cs typeface="Arial"/>
            </a:rPr>
            <a:t>48"</a:t>
          </a:r>
        </a:p>
      </xdr:txBody>
    </xdr:sp>
    <xdr:clientData/>
  </xdr:oneCellAnchor>
  <xdr:oneCellAnchor>
    <xdr:from>
      <xdr:col>1</xdr:col>
      <xdr:colOff>133350</xdr:colOff>
      <xdr:row>94</xdr:row>
      <xdr:rowOff>47625</xdr:rowOff>
    </xdr:from>
    <xdr:ext cx="342900" cy="238125"/>
    <xdr:sp macro="" textlink="">
      <xdr:nvSpPr>
        <xdr:cNvPr id="31835" name="Text Box 91"/>
        <xdr:cNvSpPr txBox="1">
          <a:spLocks noChangeArrowheads="1"/>
        </xdr:cNvSpPr>
      </xdr:nvSpPr>
      <xdr:spPr bwMode="auto">
        <a:xfrm>
          <a:off x="742950" y="15716250"/>
          <a:ext cx="3429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0000FF"/>
              </a:solidFill>
              <a:latin typeface="Arial"/>
              <a:cs typeface="Arial"/>
            </a:rPr>
            <a:t>54"</a:t>
          </a:r>
        </a:p>
      </xdr:txBody>
    </xdr:sp>
    <xdr:clientData/>
  </xdr:oneCellAnchor>
  <xdr:oneCellAnchor>
    <xdr:from>
      <xdr:col>1</xdr:col>
      <xdr:colOff>133350</xdr:colOff>
      <xdr:row>98</xdr:row>
      <xdr:rowOff>57150</xdr:rowOff>
    </xdr:from>
    <xdr:ext cx="342900" cy="238125"/>
    <xdr:sp macro="" textlink="">
      <xdr:nvSpPr>
        <xdr:cNvPr id="31836" name="Text Box 92"/>
        <xdr:cNvSpPr txBox="1">
          <a:spLocks noChangeArrowheads="1"/>
        </xdr:cNvSpPr>
      </xdr:nvSpPr>
      <xdr:spPr bwMode="auto">
        <a:xfrm>
          <a:off x="742950" y="16392525"/>
          <a:ext cx="3429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0000FF"/>
              </a:solidFill>
              <a:latin typeface="Arial"/>
              <a:cs typeface="Arial"/>
            </a:rPr>
            <a:t>60"</a:t>
          </a:r>
        </a:p>
      </xdr:txBody>
    </xdr:sp>
    <xdr:clientData/>
  </xdr:oneCellAnchor>
  <xdr:oneCellAnchor>
    <xdr:from>
      <xdr:col>1</xdr:col>
      <xdr:colOff>161925</xdr:colOff>
      <xdr:row>103</xdr:row>
      <xdr:rowOff>66675</xdr:rowOff>
    </xdr:from>
    <xdr:ext cx="342900" cy="238125"/>
    <xdr:sp macro="" textlink="">
      <xdr:nvSpPr>
        <xdr:cNvPr id="31850" name="Text Box 106"/>
        <xdr:cNvSpPr txBox="1">
          <a:spLocks noChangeArrowheads="1"/>
        </xdr:cNvSpPr>
      </xdr:nvSpPr>
      <xdr:spPr bwMode="auto">
        <a:xfrm>
          <a:off x="771525" y="17249775"/>
          <a:ext cx="3429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0000FF"/>
              </a:solidFill>
              <a:latin typeface="Arial"/>
              <a:cs typeface="Arial"/>
            </a:rPr>
            <a:t>66"</a:t>
          </a:r>
        </a:p>
      </xdr:txBody>
    </xdr:sp>
    <xdr:clientData/>
  </xdr:oneCellAnchor>
  <xdr:oneCellAnchor>
    <xdr:from>
      <xdr:col>1</xdr:col>
      <xdr:colOff>152400</xdr:colOff>
      <xdr:row>107</xdr:row>
      <xdr:rowOff>57150</xdr:rowOff>
    </xdr:from>
    <xdr:ext cx="342900" cy="238125"/>
    <xdr:sp macro="" textlink="">
      <xdr:nvSpPr>
        <xdr:cNvPr id="31851" name="Text Box 107"/>
        <xdr:cNvSpPr txBox="1">
          <a:spLocks noChangeArrowheads="1"/>
        </xdr:cNvSpPr>
      </xdr:nvSpPr>
      <xdr:spPr bwMode="auto">
        <a:xfrm>
          <a:off x="762000" y="17907000"/>
          <a:ext cx="3429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0000FF"/>
              </a:solidFill>
              <a:latin typeface="Arial"/>
              <a:cs typeface="Arial"/>
            </a:rPr>
            <a:t>72"</a:t>
          </a:r>
        </a:p>
      </xdr:txBody>
    </xdr:sp>
    <xdr:clientData/>
  </xdr:oneCellAnchor>
  <xdr:oneCellAnchor>
    <xdr:from>
      <xdr:col>1</xdr:col>
      <xdr:colOff>133350</xdr:colOff>
      <xdr:row>111</xdr:row>
      <xdr:rowOff>19050</xdr:rowOff>
    </xdr:from>
    <xdr:ext cx="342900" cy="238125"/>
    <xdr:sp macro="" textlink="">
      <xdr:nvSpPr>
        <xdr:cNvPr id="31852" name="Text Box 108"/>
        <xdr:cNvSpPr txBox="1">
          <a:spLocks noChangeArrowheads="1"/>
        </xdr:cNvSpPr>
      </xdr:nvSpPr>
      <xdr:spPr bwMode="auto">
        <a:xfrm>
          <a:off x="742950" y="18535650"/>
          <a:ext cx="3429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0000FF"/>
              </a:solidFill>
              <a:latin typeface="Arial"/>
              <a:cs typeface="Arial"/>
            </a:rPr>
            <a:t>78"</a:t>
          </a:r>
        </a:p>
      </xdr:txBody>
    </xdr:sp>
    <xdr:clientData/>
  </xdr:oneCellAnchor>
  <xdr:oneCellAnchor>
    <xdr:from>
      <xdr:col>1</xdr:col>
      <xdr:colOff>133350</xdr:colOff>
      <xdr:row>115</xdr:row>
      <xdr:rowOff>57150</xdr:rowOff>
    </xdr:from>
    <xdr:ext cx="342900" cy="238125"/>
    <xdr:sp macro="" textlink="">
      <xdr:nvSpPr>
        <xdr:cNvPr id="31853" name="Text Box 109"/>
        <xdr:cNvSpPr txBox="1">
          <a:spLocks noChangeArrowheads="1"/>
        </xdr:cNvSpPr>
      </xdr:nvSpPr>
      <xdr:spPr bwMode="auto">
        <a:xfrm>
          <a:off x="742950" y="19240500"/>
          <a:ext cx="3429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0000FF"/>
              </a:solidFill>
              <a:latin typeface="Arial"/>
              <a:cs typeface="Arial"/>
            </a:rPr>
            <a:t>84"</a:t>
          </a:r>
        </a:p>
      </xdr:txBody>
    </xdr:sp>
    <xdr:clientData/>
  </xdr:oneCellAnchor>
  <xdr:oneCellAnchor>
    <xdr:from>
      <xdr:col>1</xdr:col>
      <xdr:colOff>133350</xdr:colOff>
      <xdr:row>119</xdr:row>
      <xdr:rowOff>47625</xdr:rowOff>
    </xdr:from>
    <xdr:ext cx="342900" cy="238125"/>
    <xdr:sp macro="" textlink="">
      <xdr:nvSpPr>
        <xdr:cNvPr id="31854" name="Text Box 110"/>
        <xdr:cNvSpPr txBox="1">
          <a:spLocks noChangeArrowheads="1"/>
        </xdr:cNvSpPr>
      </xdr:nvSpPr>
      <xdr:spPr bwMode="auto">
        <a:xfrm>
          <a:off x="742950" y="19897725"/>
          <a:ext cx="3429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0000FF"/>
              </a:solidFill>
              <a:latin typeface="Arial"/>
              <a:cs typeface="Arial"/>
            </a:rPr>
            <a:t>90"</a:t>
          </a:r>
        </a:p>
      </xdr:txBody>
    </xdr:sp>
    <xdr:clientData/>
  </xdr:oneCellAnchor>
  <xdr:oneCellAnchor>
    <xdr:from>
      <xdr:col>1</xdr:col>
      <xdr:colOff>133350</xdr:colOff>
      <xdr:row>123</xdr:row>
      <xdr:rowOff>57150</xdr:rowOff>
    </xdr:from>
    <xdr:ext cx="342900" cy="238125"/>
    <xdr:sp macro="" textlink="">
      <xdr:nvSpPr>
        <xdr:cNvPr id="31855" name="Text Box 111"/>
        <xdr:cNvSpPr txBox="1">
          <a:spLocks noChangeArrowheads="1"/>
        </xdr:cNvSpPr>
      </xdr:nvSpPr>
      <xdr:spPr bwMode="auto">
        <a:xfrm>
          <a:off x="742950" y="20574000"/>
          <a:ext cx="3429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0000FF"/>
              </a:solidFill>
              <a:latin typeface="Arial"/>
              <a:cs typeface="Arial"/>
            </a:rPr>
            <a:t>96"</a:t>
          </a:r>
        </a:p>
      </xdr:txBody>
    </xdr:sp>
    <xdr:clientData/>
  </xdr:oneCellAnchor>
  <xdr:oneCellAnchor>
    <xdr:from>
      <xdr:col>1</xdr:col>
      <xdr:colOff>76200</xdr:colOff>
      <xdr:row>128</xdr:row>
      <xdr:rowOff>66675</xdr:rowOff>
    </xdr:from>
    <xdr:ext cx="428625" cy="238125"/>
    <xdr:sp macro="" textlink="">
      <xdr:nvSpPr>
        <xdr:cNvPr id="31856" name="Text Box 112"/>
        <xdr:cNvSpPr txBox="1">
          <a:spLocks noChangeArrowheads="1"/>
        </xdr:cNvSpPr>
      </xdr:nvSpPr>
      <xdr:spPr bwMode="auto">
        <a:xfrm>
          <a:off x="685800" y="21431250"/>
          <a:ext cx="4286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0000FF"/>
              </a:solidFill>
              <a:latin typeface="Arial"/>
              <a:cs typeface="Arial"/>
            </a:rPr>
            <a:t>102"</a:t>
          </a:r>
        </a:p>
      </xdr:txBody>
    </xdr:sp>
    <xdr:clientData/>
  </xdr:oneCellAnchor>
  <xdr:oneCellAnchor>
    <xdr:from>
      <xdr:col>1</xdr:col>
      <xdr:colOff>104775</xdr:colOff>
      <xdr:row>132</xdr:row>
      <xdr:rowOff>57150</xdr:rowOff>
    </xdr:from>
    <xdr:ext cx="428625" cy="238125"/>
    <xdr:sp macro="" textlink="">
      <xdr:nvSpPr>
        <xdr:cNvPr id="31857" name="Text Box 113"/>
        <xdr:cNvSpPr txBox="1">
          <a:spLocks noChangeArrowheads="1"/>
        </xdr:cNvSpPr>
      </xdr:nvSpPr>
      <xdr:spPr bwMode="auto">
        <a:xfrm>
          <a:off x="714375" y="22088475"/>
          <a:ext cx="4286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0000FF"/>
              </a:solidFill>
              <a:latin typeface="Arial"/>
              <a:cs typeface="Arial"/>
            </a:rPr>
            <a:t>108"</a:t>
          </a:r>
        </a:p>
      </xdr:txBody>
    </xdr:sp>
    <xdr:clientData/>
  </xdr:oneCellAnchor>
  <xdr:oneCellAnchor>
    <xdr:from>
      <xdr:col>1</xdr:col>
      <xdr:colOff>95250</xdr:colOff>
      <xdr:row>136</xdr:row>
      <xdr:rowOff>19050</xdr:rowOff>
    </xdr:from>
    <xdr:ext cx="428625" cy="238125"/>
    <xdr:sp macro="" textlink="">
      <xdr:nvSpPr>
        <xdr:cNvPr id="31858" name="Text Box 114"/>
        <xdr:cNvSpPr txBox="1">
          <a:spLocks noChangeArrowheads="1"/>
        </xdr:cNvSpPr>
      </xdr:nvSpPr>
      <xdr:spPr bwMode="auto">
        <a:xfrm>
          <a:off x="704850" y="22717125"/>
          <a:ext cx="4286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0000FF"/>
              </a:solidFill>
              <a:latin typeface="Arial"/>
              <a:cs typeface="Arial"/>
            </a:rPr>
            <a:t>114"</a:t>
          </a:r>
        </a:p>
      </xdr:txBody>
    </xdr:sp>
    <xdr:clientData/>
  </xdr:oneCellAnchor>
  <xdr:oneCellAnchor>
    <xdr:from>
      <xdr:col>1</xdr:col>
      <xdr:colOff>114300</xdr:colOff>
      <xdr:row>140</xdr:row>
      <xdr:rowOff>76200</xdr:rowOff>
    </xdr:from>
    <xdr:ext cx="428625" cy="238125"/>
    <xdr:sp macro="" textlink="">
      <xdr:nvSpPr>
        <xdr:cNvPr id="31859" name="Text Box 115"/>
        <xdr:cNvSpPr txBox="1">
          <a:spLocks noChangeArrowheads="1"/>
        </xdr:cNvSpPr>
      </xdr:nvSpPr>
      <xdr:spPr bwMode="auto">
        <a:xfrm>
          <a:off x="723900" y="23441025"/>
          <a:ext cx="4286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0000FF"/>
              </a:solidFill>
              <a:latin typeface="Arial"/>
              <a:cs typeface="Arial"/>
            </a:rPr>
            <a:t>120"</a:t>
          </a:r>
        </a:p>
      </xdr:txBody>
    </xdr:sp>
    <xdr:clientData/>
  </xdr:oneCellAnchor>
  <xdr:oneCellAnchor>
    <xdr:from>
      <xdr:col>1</xdr:col>
      <xdr:colOff>133350</xdr:colOff>
      <xdr:row>144</xdr:row>
      <xdr:rowOff>47625</xdr:rowOff>
    </xdr:from>
    <xdr:ext cx="428625" cy="238125"/>
    <xdr:sp macro="" textlink="">
      <xdr:nvSpPr>
        <xdr:cNvPr id="31860" name="Text Box 116"/>
        <xdr:cNvSpPr txBox="1">
          <a:spLocks noChangeArrowheads="1"/>
        </xdr:cNvSpPr>
      </xdr:nvSpPr>
      <xdr:spPr bwMode="auto">
        <a:xfrm>
          <a:off x="742950" y="24079200"/>
          <a:ext cx="4286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0000FF"/>
              </a:solidFill>
              <a:latin typeface="Arial"/>
              <a:cs typeface="Arial"/>
            </a:rPr>
            <a:t>126"</a:t>
          </a:r>
        </a:p>
      </xdr:txBody>
    </xdr:sp>
    <xdr:clientData/>
  </xdr:oneCellAnchor>
  <xdr:oneCellAnchor>
    <xdr:from>
      <xdr:col>1</xdr:col>
      <xdr:colOff>133350</xdr:colOff>
      <xdr:row>148</xdr:row>
      <xdr:rowOff>57150</xdr:rowOff>
    </xdr:from>
    <xdr:ext cx="428625" cy="238125"/>
    <xdr:sp macro="" textlink="">
      <xdr:nvSpPr>
        <xdr:cNvPr id="31861" name="Text Box 117"/>
        <xdr:cNvSpPr txBox="1">
          <a:spLocks noChangeArrowheads="1"/>
        </xdr:cNvSpPr>
      </xdr:nvSpPr>
      <xdr:spPr bwMode="auto">
        <a:xfrm>
          <a:off x="742950" y="24755475"/>
          <a:ext cx="4286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0000FF"/>
              </a:solidFill>
              <a:latin typeface="Arial"/>
              <a:cs typeface="Arial"/>
            </a:rPr>
            <a:t>132"</a:t>
          </a:r>
        </a:p>
      </xdr:txBody>
    </xdr:sp>
    <xdr:clientData/>
  </xdr:oneCellAnchor>
  <xdr:oneCellAnchor>
    <xdr:from>
      <xdr:col>1</xdr:col>
      <xdr:colOff>76200</xdr:colOff>
      <xdr:row>153</xdr:row>
      <xdr:rowOff>66675</xdr:rowOff>
    </xdr:from>
    <xdr:ext cx="428625" cy="238125"/>
    <xdr:sp macro="" textlink="">
      <xdr:nvSpPr>
        <xdr:cNvPr id="31862" name="Text Box 118"/>
        <xdr:cNvSpPr txBox="1">
          <a:spLocks noChangeArrowheads="1"/>
        </xdr:cNvSpPr>
      </xdr:nvSpPr>
      <xdr:spPr bwMode="auto">
        <a:xfrm>
          <a:off x="685800" y="25612725"/>
          <a:ext cx="4286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0000FF"/>
              </a:solidFill>
              <a:latin typeface="Arial"/>
              <a:cs typeface="Arial"/>
            </a:rPr>
            <a:t>138"</a:t>
          </a:r>
        </a:p>
      </xdr:txBody>
    </xdr:sp>
    <xdr:clientData/>
  </xdr:oneCellAnchor>
  <xdr:oneCellAnchor>
    <xdr:from>
      <xdr:col>1</xdr:col>
      <xdr:colOff>104775</xdr:colOff>
      <xdr:row>157</xdr:row>
      <xdr:rowOff>57150</xdr:rowOff>
    </xdr:from>
    <xdr:ext cx="428625" cy="238125"/>
    <xdr:sp macro="" textlink="">
      <xdr:nvSpPr>
        <xdr:cNvPr id="31863" name="Text Box 119"/>
        <xdr:cNvSpPr txBox="1">
          <a:spLocks noChangeArrowheads="1"/>
        </xdr:cNvSpPr>
      </xdr:nvSpPr>
      <xdr:spPr bwMode="auto">
        <a:xfrm>
          <a:off x="714375" y="26269950"/>
          <a:ext cx="4286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0000FF"/>
              </a:solidFill>
              <a:latin typeface="Arial"/>
              <a:cs typeface="Arial"/>
            </a:rPr>
            <a:t>144"</a:t>
          </a:r>
        </a:p>
      </xdr:txBody>
    </xdr:sp>
    <xdr:clientData/>
  </xdr:oneCellAnchor>
  <xdr:oneCellAnchor>
    <xdr:from>
      <xdr:col>1</xdr:col>
      <xdr:colOff>95250</xdr:colOff>
      <xdr:row>161</xdr:row>
      <xdr:rowOff>19050</xdr:rowOff>
    </xdr:from>
    <xdr:ext cx="428625" cy="238125"/>
    <xdr:sp macro="" textlink="">
      <xdr:nvSpPr>
        <xdr:cNvPr id="31864" name="Text Box 120"/>
        <xdr:cNvSpPr txBox="1">
          <a:spLocks noChangeArrowheads="1"/>
        </xdr:cNvSpPr>
      </xdr:nvSpPr>
      <xdr:spPr bwMode="auto">
        <a:xfrm>
          <a:off x="704850" y="26898600"/>
          <a:ext cx="4286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0000FF"/>
              </a:solidFill>
              <a:latin typeface="Arial"/>
              <a:cs typeface="Arial"/>
            </a:rPr>
            <a:t>156"</a:t>
          </a:r>
        </a:p>
      </xdr:txBody>
    </xdr:sp>
    <xdr:clientData/>
  </xdr:oneCellAnchor>
  <xdr:oneCellAnchor>
    <xdr:from>
      <xdr:col>1</xdr:col>
      <xdr:colOff>114300</xdr:colOff>
      <xdr:row>165</xdr:row>
      <xdr:rowOff>76200</xdr:rowOff>
    </xdr:from>
    <xdr:ext cx="428625" cy="238125"/>
    <xdr:sp macro="" textlink="">
      <xdr:nvSpPr>
        <xdr:cNvPr id="31865" name="Text Box 121"/>
        <xdr:cNvSpPr txBox="1">
          <a:spLocks noChangeArrowheads="1"/>
        </xdr:cNvSpPr>
      </xdr:nvSpPr>
      <xdr:spPr bwMode="auto">
        <a:xfrm>
          <a:off x="723900" y="27622500"/>
          <a:ext cx="4286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0000FF"/>
              </a:solidFill>
              <a:latin typeface="Arial"/>
              <a:cs typeface="Arial"/>
            </a:rPr>
            <a:t>168"</a:t>
          </a:r>
        </a:p>
      </xdr:txBody>
    </xdr:sp>
    <xdr:clientData/>
  </xdr:oneCellAnchor>
  <xdr:oneCellAnchor>
    <xdr:from>
      <xdr:col>1</xdr:col>
      <xdr:colOff>133350</xdr:colOff>
      <xdr:row>169</xdr:row>
      <xdr:rowOff>47625</xdr:rowOff>
    </xdr:from>
    <xdr:ext cx="428625" cy="238125"/>
    <xdr:sp macro="" textlink="">
      <xdr:nvSpPr>
        <xdr:cNvPr id="31866" name="Text Box 122"/>
        <xdr:cNvSpPr txBox="1">
          <a:spLocks noChangeArrowheads="1"/>
        </xdr:cNvSpPr>
      </xdr:nvSpPr>
      <xdr:spPr bwMode="auto">
        <a:xfrm>
          <a:off x="742950" y="28260675"/>
          <a:ext cx="4286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0000FF"/>
              </a:solidFill>
              <a:latin typeface="Arial"/>
              <a:cs typeface="Arial"/>
            </a:rPr>
            <a:t>180"</a:t>
          </a:r>
        </a:p>
      </xdr:txBody>
    </xdr:sp>
    <xdr:clientData/>
  </xdr:oneCellAnchor>
  <xdr:oneCellAnchor>
    <xdr:from>
      <xdr:col>1</xdr:col>
      <xdr:colOff>133350</xdr:colOff>
      <xdr:row>173</xdr:row>
      <xdr:rowOff>57150</xdr:rowOff>
    </xdr:from>
    <xdr:ext cx="428625" cy="238125"/>
    <xdr:sp macro="" textlink="">
      <xdr:nvSpPr>
        <xdr:cNvPr id="31867" name="Text Box 123"/>
        <xdr:cNvSpPr txBox="1">
          <a:spLocks noChangeArrowheads="1"/>
        </xdr:cNvSpPr>
      </xdr:nvSpPr>
      <xdr:spPr bwMode="auto">
        <a:xfrm>
          <a:off x="742950" y="28936950"/>
          <a:ext cx="4286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0000FF"/>
              </a:solidFill>
              <a:latin typeface="Arial"/>
              <a:cs typeface="Arial"/>
            </a:rPr>
            <a:t>192"</a:t>
          </a:r>
        </a:p>
      </xdr:txBody>
    </xdr:sp>
    <xdr:clientData/>
  </xdr:oneCellAnchor>
  <xdr:oneCellAnchor>
    <xdr:from>
      <xdr:col>1</xdr:col>
      <xdr:colOff>76200</xdr:colOff>
      <xdr:row>178</xdr:row>
      <xdr:rowOff>66675</xdr:rowOff>
    </xdr:from>
    <xdr:ext cx="428625" cy="238125"/>
    <xdr:sp macro="" textlink="">
      <xdr:nvSpPr>
        <xdr:cNvPr id="31868" name="Text Box 124"/>
        <xdr:cNvSpPr txBox="1">
          <a:spLocks noChangeArrowheads="1"/>
        </xdr:cNvSpPr>
      </xdr:nvSpPr>
      <xdr:spPr bwMode="auto">
        <a:xfrm>
          <a:off x="685800" y="29794200"/>
          <a:ext cx="4286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0000FF"/>
              </a:solidFill>
              <a:latin typeface="Arial"/>
              <a:cs typeface="Arial"/>
            </a:rPr>
            <a:t>204"</a:t>
          </a:r>
        </a:p>
      </xdr:txBody>
    </xdr:sp>
    <xdr:clientData/>
  </xdr:oneCellAnchor>
  <xdr:oneCellAnchor>
    <xdr:from>
      <xdr:col>1</xdr:col>
      <xdr:colOff>104775</xdr:colOff>
      <xdr:row>182</xdr:row>
      <xdr:rowOff>57150</xdr:rowOff>
    </xdr:from>
    <xdr:ext cx="428625" cy="238125"/>
    <xdr:sp macro="" textlink="">
      <xdr:nvSpPr>
        <xdr:cNvPr id="31869" name="Text Box 125"/>
        <xdr:cNvSpPr txBox="1">
          <a:spLocks noChangeArrowheads="1"/>
        </xdr:cNvSpPr>
      </xdr:nvSpPr>
      <xdr:spPr bwMode="auto">
        <a:xfrm>
          <a:off x="714375" y="30451425"/>
          <a:ext cx="4286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0000FF"/>
              </a:solidFill>
              <a:latin typeface="Arial"/>
              <a:cs typeface="Arial"/>
            </a:rPr>
            <a:t>216"</a:t>
          </a:r>
        </a:p>
      </xdr:txBody>
    </xdr:sp>
    <xdr:clientData/>
  </xdr:oneCellAnchor>
  <xdr:oneCellAnchor>
    <xdr:from>
      <xdr:col>1</xdr:col>
      <xdr:colOff>95250</xdr:colOff>
      <xdr:row>186</xdr:row>
      <xdr:rowOff>19050</xdr:rowOff>
    </xdr:from>
    <xdr:ext cx="428625" cy="238125"/>
    <xdr:sp macro="" textlink="">
      <xdr:nvSpPr>
        <xdr:cNvPr id="31870" name="Text Box 126"/>
        <xdr:cNvSpPr txBox="1">
          <a:spLocks noChangeArrowheads="1"/>
        </xdr:cNvSpPr>
      </xdr:nvSpPr>
      <xdr:spPr bwMode="auto">
        <a:xfrm>
          <a:off x="704850" y="31080075"/>
          <a:ext cx="4286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0000FF"/>
              </a:solidFill>
              <a:latin typeface="Arial"/>
              <a:cs typeface="Arial"/>
            </a:rPr>
            <a:t>228"</a:t>
          </a:r>
        </a:p>
      </xdr:txBody>
    </xdr:sp>
    <xdr:clientData/>
  </xdr:oneCellAnchor>
  <xdr:oneCellAnchor>
    <xdr:from>
      <xdr:col>1</xdr:col>
      <xdr:colOff>114300</xdr:colOff>
      <xdr:row>190</xdr:row>
      <xdr:rowOff>76200</xdr:rowOff>
    </xdr:from>
    <xdr:ext cx="428625" cy="238125"/>
    <xdr:sp macro="" textlink="">
      <xdr:nvSpPr>
        <xdr:cNvPr id="31871" name="Text Box 127"/>
        <xdr:cNvSpPr txBox="1">
          <a:spLocks noChangeArrowheads="1"/>
        </xdr:cNvSpPr>
      </xdr:nvSpPr>
      <xdr:spPr bwMode="auto">
        <a:xfrm>
          <a:off x="723900" y="31803975"/>
          <a:ext cx="4286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0000FF"/>
              </a:solidFill>
              <a:latin typeface="Arial"/>
              <a:cs typeface="Arial"/>
            </a:rPr>
            <a:t>240"</a:t>
          </a:r>
        </a:p>
      </xdr:txBody>
    </xdr:sp>
    <xdr:clientData/>
  </xdr:oneCellAnchor>
  <xdr:twoCellAnchor>
    <xdr:from>
      <xdr:col>3</xdr:col>
      <xdr:colOff>266700</xdr:colOff>
      <xdr:row>200</xdr:row>
      <xdr:rowOff>114300</xdr:rowOff>
    </xdr:from>
    <xdr:to>
      <xdr:col>10</xdr:col>
      <xdr:colOff>361950</xdr:colOff>
      <xdr:row>206</xdr:row>
      <xdr:rowOff>95250</xdr:rowOff>
    </xdr:to>
    <xdr:sp macro="" textlink="">
      <xdr:nvSpPr>
        <xdr:cNvPr id="31874" name="AutoShape 130"/>
        <xdr:cNvSpPr>
          <a:spLocks noChangeArrowheads="1"/>
        </xdr:cNvSpPr>
      </xdr:nvSpPr>
      <xdr:spPr bwMode="auto">
        <a:xfrm>
          <a:off x="2095500" y="33480375"/>
          <a:ext cx="4362450" cy="952500"/>
        </a:xfrm>
        <a:custGeom>
          <a:avLst/>
          <a:gdLst>
            <a:gd name="G0" fmla="+- 10519 0 0"/>
            <a:gd name="G1" fmla="+- 11719371 0 0"/>
            <a:gd name="G2" fmla="+- 0 0 11719371"/>
            <a:gd name="T0" fmla="*/ 0 256 1"/>
            <a:gd name="T1" fmla="*/ 180 256 1"/>
            <a:gd name="G3" fmla="+- 11719371 T0 T1"/>
            <a:gd name="T2" fmla="*/ 0 256 1"/>
            <a:gd name="T3" fmla="*/ 90 256 1"/>
            <a:gd name="G4" fmla="+- 11719371 T2 T3"/>
            <a:gd name="G5" fmla="*/ G4 2 1"/>
            <a:gd name="T4" fmla="*/ 90 256 1"/>
            <a:gd name="T5" fmla="*/ 0 256 1"/>
            <a:gd name="G6" fmla="+- 11719371 T4 T5"/>
            <a:gd name="G7" fmla="*/ G6 2 1"/>
            <a:gd name="G8" fmla="abs 11719371"/>
            <a:gd name="T6" fmla="*/ 0 256 1"/>
            <a:gd name="T7" fmla="*/ 90 256 1"/>
            <a:gd name="G9" fmla="+- G8 T6 T7"/>
            <a:gd name="G10" fmla="?: G9 G7 G5"/>
            <a:gd name="T8" fmla="*/ 0 256 1"/>
            <a:gd name="T9" fmla="*/ 360 256 1"/>
            <a:gd name="G11" fmla="+- G10 T8 T9"/>
            <a:gd name="G12" fmla="?: G10 G11 G10"/>
            <a:gd name="T10" fmla="*/ 0 256 1"/>
            <a:gd name="T11" fmla="*/ 360 256 1"/>
            <a:gd name="G13" fmla="+- G12 T10 T11"/>
            <a:gd name="G14" fmla="?: G12 G13 G12"/>
            <a:gd name="G15" fmla="+- 0 0 G14"/>
            <a:gd name="G16" fmla="+- 10800 0 0"/>
            <a:gd name="G17" fmla="+- 10800 0 10519"/>
            <a:gd name="G18" fmla="*/ 10519 1 2"/>
            <a:gd name="G19" fmla="+- G18 5400 0"/>
            <a:gd name="G20" fmla="cos G19 11719371"/>
            <a:gd name="G21" fmla="sin G19 11719371"/>
            <a:gd name="G22" fmla="+- G20 10800 0"/>
            <a:gd name="G23" fmla="+- G21 10800 0"/>
            <a:gd name="G24" fmla="+- 10800 0 G20"/>
            <a:gd name="G25" fmla="+- 10519 10800 0"/>
            <a:gd name="G26" fmla="?: G9 G17 G25"/>
            <a:gd name="G27" fmla="?: G9 0 21600"/>
            <a:gd name="G28" fmla="cos 10800 11719371"/>
            <a:gd name="G29" fmla="sin 10800 11719371"/>
            <a:gd name="G30" fmla="sin 10519 11719371"/>
            <a:gd name="G31" fmla="+- G28 10800 0"/>
            <a:gd name="G32" fmla="+- G29 10800 0"/>
            <a:gd name="G33" fmla="+- G30 10800 0"/>
            <a:gd name="G34" fmla="?: G4 0 G31"/>
            <a:gd name="G35" fmla="?: 11719371 G34 0"/>
            <a:gd name="G36" fmla="?: G6 G35 G31"/>
            <a:gd name="G37" fmla="+- 21600 0 G36"/>
            <a:gd name="G38" fmla="?: G4 0 G33"/>
            <a:gd name="G39" fmla="?: 11719371 G38 G32"/>
            <a:gd name="G40" fmla="?: G6 G39 0"/>
            <a:gd name="G41" fmla="?: G4 G32 21600"/>
            <a:gd name="G42" fmla="?: G6 G41 G33"/>
            <a:gd name="T12" fmla="*/ 10800 w 21600"/>
            <a:gd name="T13" fmla="*/ 0 h 21600"/>
            <a:gd name="T14" fmla="*/ 142 w 21600"/>
            <a:gd name="T15" fmla="*/ 11018 h 21600"/>
            <a:gd name="T16" fmla="*/ 10800 w 21600"/>
            <a:gd name="T17" fmla="*/ 281 h 21600"/>
            <a:gd name="T18" fmla="*/ 21458 w 21600"/>
            <a:gd name="T19" fmla="*/ 11018 h 21600"/>
            <a:gd name="T20" fmla="*/ G36 w 21600"/>
            <a:gd name="T21" fmla="*/ G40 h 21600"/>
            <a:gd name="T22" fmla="*/ G37 w 21600"/>
            <a:gd name="T23" fmla="*/ G42 h 21600"/>
          </a:gdLst>
          <a:ahLst/>
          <a:cxnLst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</a:cxnLst>
          <a:rect l="T20" t="T21" r="T22" b="T23"/>
          <a:pathLst>
            <a:path w="21600" h="21600">
              <a:moveTo>
                <a:pt x="283" y="11015"/>
              </a:moveTo>
              <a:cubicBezTo>
                <a:pt x="281" y="10944"/>
                <a:pt x="281" y="10872"/>
                <a:pt x="281" y="10800"/>
              </a:cubicBezTo>
              <a:cubicBezTo>
                <a:pt x="281" y="4990"/>
                <a:pt x="4990" y="281"/>
                <a:pt x="10800" y="281"/>
              </a:cubicBezTo>
              <a:cubicBezTo>
                <a:pt x="16609" y="281"/>
                <a:pt x="21319" y="4990"/>
                <a:pt x="21319" y="10800"/>
              </a:cubicBezTo>
              <a:cubicBezTo>
                <a:pt x="21319" y="10872"/>
                <a:pt x="21318" y="10944"/>
                <a:pt x="21316" y="11015"/>
              </a:cubicBezTo>
              <a:lnTo>
                <a:pt x="21597" y="11021"/>
              </a:lnTo>
              <a:cubicBezTo>
                <a:pt x="21599" y="10947"/>
                <a:pt x="21600" y="10873"/>
                <a:pt x="21600" y="10800"/>
              </a:cubicBezTo>
              <a:cubicBezTo>
                <a:pt x="21600" y="4835"/>
                <a:pt x="16764" y="0"/>
                <a:pt x="10800" y="0"/>
              </a:cubicBezTo>
              <a:cubicBezTo>
                <a:pt x="4835" y="0"/>
                <a:pt x="0" y="4835"/>
                <a:pt x="0" y="10800"/>
              </a:cubicBezTo>
              <a:cubicBezTo>
                <a:pt x="-1" y="10873"/>
                <a:pt x="0" y="10947"/>
                <a:pt x="2" y="11021"/>
              </a:cubicBezTo>
              <a:close/>
            </a:path>
          </a:pathLst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905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276225</xdr:colOff>
      <xdr:row>203</xdr:row>
      <xdr:rowOff>104775</xdr:rowOff>
    </xdr:from>
    <xdr:to>
      <xdr:col>3</xdr:col>
      <xdr:colOff>323850</xdr:colOff>
      <xdr:row>205</xdr:row>
      <xdr:rowOff>0</xdr:rowOff>
    </xdr:to>
    <xdr:sp macro="" textlink="">
      <xdr:nvSpPr>
        <xdr:cNvPr id="31875" name="Rectangle 131"/>
        <xdr:cNvSpPr>
          <a:spLocks noChangeArrowheads="1"/>
        </xdr:cNvSpPr>
      </xdr:nvSpPr>
      <xdr:spPr bwMode="auto">
        <a:xfrm>
          <a:off x="2105025" y="33956625"/>
          <a:ext cx="47625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905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314325</xdr:colOff>
      <xdr:row>203</xdr:row>
      <xdr:rowOff>123825</xdr:rowOff>
    </xdr:from>
    <xdr:to>
      <xdr:col>10</xdr:col>
      <xdr:colOff>361950</xdr:colOff>
      <xdr:row>205</xdr:row>
      <xdr:rowOff>19050</xdr:rowOff>
    </xdr:to>
    <xdr:sp macro="" textlink="">
      <xdr:nvSpPr>
        <xdr:cNvPr id="31876" name="Rectangle 132"/>
        <xdr:cNvSpPr>
          <a:spLocks noChangeArrowheads="1"/>
        </xdr:cNvSpPr>
      </xdr:nvSpPr>
      <xdr:spPr bwMode="auto">
        <a:xfrm>
          <a:off x="6410325" y="33975675"/>
          <a:ext cx="47625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905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19050</xdr:colOff>
      <xdr:row>198</xdr:row>
      <xdr:rowOff>47625</xdr:rowOff>
    </xdr:from>
    <xdr:to>
      <xdr:col>7</xdr:col>
      <xdr:colOff>19050</xdr:colOff>
      <xdr:row>212</xdr:row>
      <xdr:rowOff>114300</xdr:rowOff>
    </xdr:to>
    <xdr:sp macro="" textlink="">
      <xdr:nvSpPr>
        <xdr:cNvPr id="31877" name="Line 133"/>
        <xdr:cNvSpPr>
          <a:spLocks noChangeShapeType="1"/>
        </xdr:cNvSpPr>
      </xdr:nvSpPr>
      <xdr:spPr bwMode="auto">
        <a:xfrm flipH="1" flipV="1">
          <a:off x="4286250" y="33089850"/>
          <a:ext cx="0" cy="23336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lgDash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161925</xdr:colOff>
      <xdr:row>203</xdr:row>
      <xdr:rowOff>104775</xdr:rowOff>
    </xdr:from>
    <xdr:to>
      <xdr:col>12</xdr:col>
      <xdr:colOff>28575</xdr:colOff>
      <xdr:row>203</xdr:row>
      <xdr:rowOff>104775</xdr:rowOff>
    </xdr:to>
    <xdr:sp macro="" textlink="">
      <xdr:nvSpPr>
        <xdr:cNvPr id="31878" name="Line 134"/>
        <xdr:cNvSpPr>
          <a:spLocks noChangeShapeType="1"/>
        </xdr:cNvSpPr>
      </xdr:nvSpPr>
      <xdr:spPr bwMode="auto">
        <a:xfrm flipV="1">
          <a:off x="771525" y="33956625"/>
          <a:ext cx="65722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lgDash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285750</xdr:colOff>
      <xdr:row>205</xdr:row>
      <xdr:rowOff>0</xdr:rowOff>
    </xdr:from>
    <xdr:to>
      <xdr:col>10</xdr:col>
      <xdr:colOff>295275</xdr:colOff>
      <xdr:row>205</xdr:row>
      <xdr:rowOff>0</xdr:rowOff>
    </xdr:to>
    <xdr:sp macro="" textlink="">
      <xdr:nvSpPr>
        <xdr:cNvPr id="31879" name="Line 135"/>
        <xdr:cNvSpPr>
          <a:spLocks noChangeShapeType="1"/>
        </xdr:cNvSpPr>
      </xdr:nvSpPr>
      <xdr:spPr bwMode="auto">
        <a:xfrm>
          <a:off x="2114550" y="34175700"/>
          <a:ext cx="427672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</xdr:col>
      <xdr:colOff>247650</xdr:colOff>
      <xdr:row>202</xdr:row>
      <xdr:rowOff>66675</xdr:rowOff>
    </xdr:from>
    <xdr:ext cx="876300" cy="200025"/>
    <xdr:sp macro="" textlink="">
      <xdr:nvSpPr>
        <xdr:cNvPr id="31880" name="Text Box 136"/>
        <xdr:cNvSpPr txBox="1">
          <a:spLocks noChangeArrowheads="1"/>
        </xdr:cNvSpPr>
      </xdr:nvSpPr>
      <xdr:spPr bwMode="auto">
        <a:xfrm>
          <a:off x="857250" y="33756600"/>
          <a:ext cx="8763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Tangent Line</a:t>
          </a:r>
        </a:p>
      </xdr:txBody>
    </xdr:sp>
    <xdr:clientData/>
  </xdr:oneCellAnchor>
  <xdr:twoCellAnchor>
    <xdr:from>
      <xdr:col>10</xdr:col>
      <xdr:colOff>390525</xdr:colOff>
      <xdr:row>204</xdr:row>
      <xdr:rowOff>152400</xdr:rowOff>
    </xdr:from>
    <xdr:to>
      <xdr:col>11</xdr:col>
      <xdr:colOff>457200</xdr:colOff>
      <xdr:row>204</xdr:row>
      <xdr:rowOff>152400</xdr:rowOff>
    </xdr:to>
    <xdr:sp macro="" textlink="">
      <xdr:nvSpPr>
        <xdr:cNvPr id="31881" name="Line 137"/>
        <xdr:cNvSpPr>
          <a:spLocks noChangeShapeType="1"/>
        </xdr:cNvSpPr>
      </xdr:nvSpPr>
      <xdr:spPr bwMode="auto">
        <a:xfrm>
          <a:off x="6486525" y="34166175"/>
          <a:ext cx="6762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400050</xdr:colOff>
      <xdr:row>204</xdr:row>
      <xdr:rowOff>142875</xdr:rowOff>
    </xdr:from>
    <xdr:to>
      <xdr:col>11</xdr:col>
      <xdr:colOff>400050</xdr:colOff>
      <xdr:row>207</xdr:row>
      <xdr:rowOff>28575</xdr:rowOff>
    </xdr:to>
    <xdr:sp macro="" textlink="">
      <xdr:nvSpPr>
        <xdr:cNvPr id="31882" name="Line 138"/>
        <xdr:cNvSpPr>
          <a:spLocks noChangeShapeType="1"/>
        </xdr:cNvSpPr>
      </xdr:nvSpPr>
      <xdr:spPr bwMode="auto">
        <a:xfrm>
          <a:off x="7105650" y="34156650"/>
          <a:ext cx="0" cy="37147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504825</xdr:colOff>
      <xdr:row>202</xdr:row>
      <xdr:rowOff>85725</xdr:rowOff>
    </xdr:from>
    <xdr:to>
      <xdr:col>4</xdr:col>
      <xdr:colOff>95250</xdr:colOff>
      <xdr:row>203</xdr:row>
      <xdr:rowOff>104775</xdr:rowOff>
    </xdr:to>
    <xdr:sp macro="" textlink="">
      <xdr:nvSpPr>
        <xdr:cNvPr id="31883" name="Line 139"/>
        <xdr:cNvSpPr>
          <a:spLocks noChangeShapeType="1"/>
        </xdr:cNvSpPr>
      </xdr:nvSpPr>
      <xdr:spPr bwMode="auto">
        <a:xfrm>
          <a:off x="2333625" y="33775650"/>
          <a:ext cx="200025" cy="18097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400050</xdr:colOff>
      <xdr:row>203</xdr:row>
      <xdr:rowOff>104775</xdr:rowOff>
    </xdr:from>
    <xdr:to>
      <xdr:col>11</xdr:col>
      <xdr:colOff>400050</xdr:colOff>
      <xdr:row>205</xdr:row>
      <xdr:rowOff>0</xdr:rowOff>
    </xdr:to>
    <xdr:sp macro="" textlink="">
      <xdr:nvSpPr>
        <xdr:cNvPr id="31884" name="Line 140"/>
        <xdr:cNvSpPr>
          <a:spLocks noChangeShapeType="1"/>
        </xdr:cNvSpPr>
      </xdr:nvSpPr>
      <xdr:spPr bwMode="auto">
        <a:xfrm>
          <a:off x="7105650" y="33956625"/>
          <a:ext cx="0" cy="21907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381000</xdr:colOff>
      <xdr:row>200</xdr:row>
      <xdr:rowOff>142875</xdr:rowOff>
    </xdr:from>
    <xdr:to>
      <xdr:col>11</xdr:col>
      <xdr:colOff>400050</xdr:colOff>
      <xdr:row>203</xdr:row>
      <xdr:rowOff>104775</xdr:rowOff>
    </xdr:to>
    <xdr:sp macro="" textlink="">
      <xdr:nvSpPr>
        <xdr:cNvPr id="31885" name="Line 141"/>
        <xdr:cNvSpPr>
          <a:spLocks noChangeShapeType="1"/>
        </xdr:cNvSpPr>
      </xdr:nvSpPr>
      <xdr:spPr bwMode="auto">
        <a:xfrm>
          <a:off x="7086600" y="33508950"/>
          <a:ext cx="19050" cy="44767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400050</xdr:colOff>
      <xdr:row>204</xdr:row>
      <xdr:rowOff>47625</xdr:rowOff>
    </xdr:from>
    <xdr:to>
      <xdr:col>12</xdr:col>
      <xdr:colOff>438150</xdr:colOff>
      <xdr:row>206</xdr:row>
      <xdr:rowOff>28575</xdr:rowOff>
    </xdr:to>
    <xdr:sp macro="" textlink="">
      <xdr:nvSpPr>
        <xdr:cNvPr id="31886" name="Line 142"/>
        <xdr:cNvSpPr>
          <a:spLocks noChangeShapeType="1"/>
        </xdr:cNvSpPr>
      </xdr:nvSpPr>
      <xdr:spPr bwMode="auto">
        <a:xfrm>
          <a:off x="7105650" y="34061400"/>
          <a:ext cx="647700" cy="30480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oval" w="med" len="med"/>
          <a:tailEnd type="oval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428625</xdr:colOff>
      <xdr:row>204</xdr:row>
      <xdr:rowOff>0</xdr:rowOff>
    </xdr:from>
    <xdr:to>
      <xdr:col>13</xdr:col>
      <xdr:colOff>552450</xdr:colOff>
      <xdr:row>210</xdr:row>
      <xdr:rowOff>9525</xdr:rowOff>
    </xdr:to>
    <xdr:sp macro="" textlink="">
      <xdr:nvSpPr>
        <xdr:cNvPr id="31887" name="Rectangle 143"/>
        <xdr:cNvSpPr>
          <a:spLocks noChangeArrowheads="1"/>
        </xdr:cNvSpPr>
      </xdr:nvSpPr>
      <xdr:spPr bwMode="auto">
        <a:xfrm>
          <a:off x="7743825" y="34013775"/>
          <a:ext cx="733425" cy="98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12</xdr:col>
      <xdr:colOff>457200</xdr:colOff>
      <xdr:row>204</xdr:row>
      <xdr:rowOff>9525</xdr:rowOff>
    </xdr:from>
    <xdr:to>
      <xdr:col>13</xdr:col>
      <xdr:colOff>485775</xdr:colOff>
      <xdr:row>209</xdr:row>
      <xdr:rowOff>123825</xdr:rowOff>
    </xdr:to>
    <xdr:sp macro="" textlink="">
      <xdr:nvSpPr>
        <xdr:cNvPr id="31888" name="Text Box 144"/>
        <xdr:cNvSpPr txBox="1">
          <a:spLocks noChangeArrowheads="1"/>
        </xdr:cNvSpPr>
      </xdr:nvSpPr>
      <xdr:spPr bwMode="auto">
        <a:xfrm>
          <a:off x="7772400" y="34023300"/>
          <a:ext cx="63817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Straight</a:t>
          </a:r>
        </a:p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Flange</a:t>
          </a:r>
        </a:p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Varies</a:t>
          </a:r>
        </a:p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2" Nom.</a:t>
          </a:r>
        </a:p>
        <a:p>
          <a:pPr algn="ctr" rtl="0">
            <a:defRPr sz="1000"/>
          </a:pPr>
          <a:r>
            <a:rPr lang="en-US" sz="1000" b="1" i="0" u="none" strike="noStrike" baseline="0">
              <a:solidFill>
                <a:srgbClr val="FF0000"/>
              </a:solidFill>
              <a:latin typeface="Arial"/>
              <a:cs typeface="Arial"/>
            </a:rPr>
            <a:t>51mm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171450</xdr:colOff>
      <xdr:row>200</xdr:row>
      <xdr:rowOff>104775</xdr:rowOff>
    </xdr:from>
    <xdr:to>
      <xdr:col>3</xdr:col>
      <xdr:colOff>495300</xdr:colOff>
      <xdr:row>202</xdr:row>
      <xdr:rowOff>76200</xdr:rowOff>
    </xdr:to>
    <xdr:sp macro="" textlink="">
      <xdr:nvSpPr>
        <xdr:cNvPr id="31889" name="Line 145"/>
        <xdr:cNvSpPr>
          <a:spLocks noChangeShapeType="1"/>
        </xdr:cNvSpPr>
      </xdr:nvSpPr>
      <xdr:spPr bwMode="auto">
        <a:xfrm flipH="1" flipV="1">
          <a:off x="2000250" y="33470850"/>
          <a:ext cx="323850" cy="29527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57150</xdr:colOff>
      <xdr:row>200</xdr:row>
      <xdr:rowOff>104775</xdr:rowOff>
    </xdr:from>
    <xdr:to>
      <xdr:col>3</xdr:col>
      <xdr:colOff>171450</xdr:colOff>
      <xdr:row>200</xdr:row>
      <xdr:rowOff>104775</xdr:rowOff>
    </xdr:to>
    <xdr:sp macro="" textlink="">
      <xdr:nvSpPr>
        <xdr:cNvPr id="31890" name="Line 146"/>
        <xdr:cNvSpPr>
          <a:spLocks noChangeShapeType="1"/>
        </xdr:cNvSpPr>
      </xdr:nvSpPr>
      <xdr:spPr bwMode="auto">
        <a:xfrm flipH="1">
          <a:off x="1885950" y="33470850"/>
          <a:ext cx="1143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28575</xdr:colOff>
      <xdr:row>201</xdr:row>
      <xdr:rowOff>19050</xdr:rowOff>
    </xdr:from>
    <xdr:to>
      <xdr:col>8</xdr:col>
      <xdr:colOff>428625</xdr:colOff>
      <xdr:row>210</xdr:row>
      <xdr:rowOff>142875</xdr:rowOff>
    </xdr:to>
    <xdr:sp macro="" textlink="">
      <xdr:nvSpPr>
        <xdr:cNvPr id="31891" name="Line 147"/>
        <xdr:cNvSpPr>
          <a:spLocks noChangeShapeType="1"/>
        </xdr:cNvSpPr>
      </xdr:nvSpPr>
      <xdr:spPr bwMode="auto">
        <a:xfrm flipV="1">
          <a:off x="4295775" y="33547050"/>
          <a:ext cx="1009650" cy="15811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457200</xdr:colOff>
      <xdr:row>198</xdr:row>
      <xdr:rowOff>95250</xdr:rowOff>
    </xdr:from>
    <xdr:to>
      <xdr:col>9</xdr:col>
      <xdr:colOff>104775</xdr:colOff>
      <xdr:row>201</xdr:row>
      <xdr:rowOff>0</xdr:rowOff>
    </xdr:to>
    <xdr:sp macro="" textlink="">
      <xdr:nvSpPr>
        <xdr:cNvPr id="31892" name="Line 148"/>
        <xdr:cNvSpPr>
          <a:spLocks noChangeShapeType="1"/>
        </xdr:cNvSpPr>
      </xdr:nvSpPr>
      <xdr:spPr bwMode="auto">
        <a:xfrm flipV="1">
          <a:off x="5334000" y="33137475"/>
          <a:ext cx="257175" cy="3905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104775</xdr:colOff>
      <xdr:row>198</xdr:row>
      <xdr:rowOff>95250</xdr:rowOff>
    </xdr:from>
    <xdr:to>
      <xdr:col>9</xdr:col>
      <xdr:colOff>285750</xdr:colOff>
      <xdr:row>198</xdr:row>
      <xdr:rowOff>95250</xdr:rowOff>
    </xdr:to>
    <xdr:sp macro="" textlink="">
      <xdr:nvSpPr>
        <xdr:cNvPr id="31893" name="Line 149"/>
        <xdr:cNvSpPr>
          <a:spLocks noChangeShapeType="1"/>
        </xdr:cNvSpPr>
      </xdr:nvSpPr>
      <xdr:spPr bwMode="auto">
        <a:xfrm>
          <a:off x="5591175" y="33137475"/>
          <a:ext cx="1809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504825</xdr:colOff>
      <xdr:row>206</xdr:row>
      <xdr:rowOff>38100</xdr:rowOff>
    </xdr:from>
    <xdr:to>
      <xdr:col>8</xdr:col>
      <xdr:colOff>190500</xdr:colOff>
      <xdr:row>207</xdr:row>
      <xdr:rowOff>66675</xdr:rowOff>
    </xdr:to>
    <xdr:sp macro="" textlink="">
      <xdr:nvSpPr>
        <xdr:cNvPr id="31894" name="Line 150"/>
        <xdr:cNvSpPr>
          <a:spLocks noChangeShapeType="1"/>
        </xdr:cNvSpPr>
      </xdr:nvSpPr>
      <xdr:spPr bwMode="auto">
        <a:xfrm>
          <a:off x="4772025" y="34375725"/>
          <a:ext cx="295275" cy="19050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oval" w="med" len="med"/>
          <a:tailEnd type="oval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323850</xdr:colOff>
      <xdr:row>197</xdr:row>
      <xdr:rowOff>142875</xdr:rowOff>
    </xdr:from>
    <xdr:ext cx="1266825" cy="238125"/>
    <xdr:sp macro="" textlink="">
      <xdr:nvSpPr>
        <xdr:cNvPr id="31895" name="Text Box 151"/>
        <xdr:cNvSpPr txBox="1">
          <a:spLocks noChangeArrowheads="1"/>
        </xdr:cNvSpPr>
      </xdr:nvSpPr>
      <xdr:spPr bwMode="auto">
        <a:xfrm>
          <a:off x="5810250" y="33023175"/>
          <a:ext cx="12668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Wall Thickness </a:t>
          </a: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"T"</a:t>
          </a:r>
        </a:p>
      </xdr:txBody>
    </xdr:sp>
    <xdr:clientData/>
  </xdr:oneCellAnchor>
  <xdr:oneCellAnchor>
    <xdr:from>
      <xdr:col>1</xdr:col>
      <xdr:colOff>600075</xdr:colOff>
      <xdr:row>199</xdr:row>
      <xdr:rowOff>9525</xdr:rowOff>
    </xdr:from>
    <xdr:ext cx="1009650" cy="400050"/>
    <xdr:sp macro="" textlink="">
      <xdr:nvSpPr>
        <xdr:cNvPr id="31896" name="Text Box 152"/>
        <xdr:cNvSpPr txBox="1">
          <a:spLocks noChangeArrowheads="1"/>
        </xdr:cNvSpPr>
      </xdr:nvSpPr>
      <xdr:spPr bwMode="auto">
        <a:xfrm>
          <a:off x="1209675" y="33213675"/>
          <a:ext cx="10096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18288" bIns="0" anchor="t" upright="1">
          <a:spAutoFit/>
        </a:bodyPr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Knuckle Radius</a:t>
          </a:r>
        </a:p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"</a:t>
          </a: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R2"</a:t>
          </a:r>
        </a:p>
      </xdr:txBody>
    </xdr:sp>
    <xdr:clientData/>
  </xdr:oneCellAnchor>
  <xdr:oneCellAnchor>
    <xdr:from>
      <xdr:col>8</xdr:col>
      <xdr:colOff>266700</xdr:colOff>
      <xdr:row>206</xdr:row>
      <xdr:rowOff>142875</xdr:rowOff>
    </xdr:from>
    <xdr:ext cx="781050" cy="400050"/>
    <xdr:sp macro="" textlink="">
      <xdr:nvSpPr>
        <xdr:cNvPr id="31897" name="Text Box 153"/>
        <xdr:cNvSpPr txBox="1">
          <a:spLocks noChangeArrowheads="1"/>
        </xdr:cNvSpPr>
      </xdr:nvSpPr>
      <xdr:spPr bwMode="auto">
        <a:xfrm>
          <a:off x="5143500" y="34480500"/>
          <a:ext cx="7810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18288" bIns="0" anchor="t" upright="1">
          <a:spAutoFit/>
        </a:bodyPr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Dish Radius</a:t>
          </a:r>
        </a:p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"</a:t>
          </a: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R1"</a:t>
          </a:r>
        </a:p>
      </xdr:txBody>
    </xdr:sp>
    <xdr:clientData/>
  </xdr:oneCellAnchor>
  <xdr:twoCellAnchor>
    <xdr:from>
      <xdr:col>9</xdr:col>
      <xdr:colOff>571500</xdr:colOff>
      <xdr:row>202</xdr:row>
      <xdr:rowOff>104775</xdr:rowOff>
    </xdr:from>
    <xdr:to>
      <xdr:col>10</xdr:col>
      <xdr:colOff>142875</xdr:colOff>
      <xdr:row>203</xdr:row>
      <xdr:rowOff>104775</xdr:rowOff>
    </xdr:to>
    <xdr:sp macro="" textlink="">
      <xdr:nvSpPr>
        <xdr:cNvPr id="31898" name="Line 154"/>
        <xdr:cNvSpPr>
          <a:spLocks noChangeShapeType="1"/>
        </xdr:cNvSpPr>
      </xdr:nvSpPr>
      <xdr:spPr bwMode="auto">
        <a:xfrm flipH="1">
          <a:off x="6057900" y="33794700"/>
          <a:ext cx="180975" cy="1619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104775</xdr:colOff>
      <xdr:row>196</xdr:row>
      <xdr:rowOff>95250</xdr:rowOff>
    </xdr:from>
    <xdr:to>
      <xdr:col>4</xdr:col>
      <xdr:colOff>104775</xdr:colOff>
      <xdr:row>203</xdr:row>
      <xdr:rowOff>114300</xdr:rowOff>
    </xdr:to>
    <xdr:sp macro="" textlink="">
      <xdr:nvSpPr>
        <xdr:cNvPr id="31899" name="Line 155"/>
        <xdr:cNvSpPr>
          <a:spLocks noChangeShapeType="1"/>
        </xdr:cNvSpPr>
      </xdr:nvSpPr>
      <xdr:spPr bwMode="auto">
        <a:xfrm flipV="1">
          <a:off x="2543175" y="32813625"/>
          <a:ext cx="0" cy="11525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lgDash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552450</xdr:colOff>
      <xdr:row>199</xdr:row>
      <xdr:rowOff>85725</xdr:rowOff>
    </xdr:from>
    <xdr:to>
      <xdr:col>9</xdr:col>
      <xdr:colOff>561975</xdr:colOff>
      <xdr:row>203</xdr:row>
      <xdr:rowOff>123825</xdr:rowOff>
    </xdr:to>
    <xdr:sp macro="" textlink="">
      <xdr:nvSpPr>
        <xdr:cNvPr id="31900" name="Line 156"/>
        <xdr:cNvSpPr>
          <a:spLocks noChangeShapeType="1"/>
        </xdr:cNvSpPr>
      </xdr:nvSpPr>
      <xdr:spPr bwMode="auto">
        <a:xfrm flipH="1" flipV="1">
          <a:off x="6038850" y="33289875"/>
          <a:ext cx="9525" cy="68580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lgDash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542925</xdr:colOff>
      <xdr:row>196</xdr:row>
      <xdr:rowOff>133350</xdr:rowOff>
    </xdr:from>
    <xdr:to>
      <xdr:col>9</xdr:col>
      <xdr:colOff>542925</xdr:colOff>
      <xdr:row>197</xdr:row>
      <xdr:rowOff>142875</xdr:rowOff>
    </xdr:to>
    <xdr:sp macro="" textlink="">
      <xdr:nvSpPr>
        <xdr:cNvPr id="31901" name="Line 157"/>
        <xdr:cNvSpPr>
          <a:spLocks noChangeShapeType="1"/>
        </xdr:cNvSpPr>
      </xdr:nvSpPr>
      <xdr:spPr bwMode="auto">
        <a:xfrm flipH="1" flipV="1">
          <a:off x="6029325" y="32851725"/>
          <a:ext cx="0" cy="1714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lgDash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114300</xdr:colOff>
      <xdr:row>197</xdr:row>
      <xdr:rowOff>9525</xdr:rowOff>
    </xdr:from>
    <xdr:to>
      <xdr:col>9</xdr:col>
      <xdr:colOff>523875</xdr:colOff>
      <xdr:row>197</xdr:row>
      <xdr:rowOff>9525</xdr:rowOff>
    </xdr:to>
    <xdr:sp macro="" textlink="">
      <xdr:nvSpPr>
        <xdr:cNvPr id="31902" name="Line 158"/>
        <xdr:cNvSpPr>
          <a:spLocks noChangeShapeType="1"/>
        </xdr:cNvSpPr>
      </xdr:nvSpPr>
      <xdr:spPr bwMode="auto">
        <a:xfrm>
          <a:off x="2552700" y="32889825"/>
          <a:ext cx="34575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5</xdr:col>
      <xdr:colOff>447675</xdr:colOff>
      <xdr:row>195</xdr:row>
      <xdr:rowOff>123825</xdr:rowOff>
    </xdr:from>
    <xdr:ext cx="1714500" cy="200025"/>
    <xdr:sp macro="" textlink="">
      <xdr:nvSpPr>
        <xdr:cNvPr id="31903" name="Text Box 159"/>
        <xdr:cNvSpPr txBox="1">
          <a:spLocks noChangeArrowheads="1"/>
        </xdr:cNvSpPr>
      </xdr:nvSpPr>
      <xdr:spPr bwMode="auto">
        <a:xfrm>
          <a:off x="3495675" y="32680275"/>
          <a:ext cx="17145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Area for nozzle attachment</a:t>
          </a:r>
        </a:p>
      </xdr:txBody>
    </xdr:sp>
    <xdr:clientData/>
  </xdr:oneCellAnchor>
  <xdr:oneCellAnchor>
    <xdr:from>
      <xdr:col>6</xdr:col>
      <xdr:colOff>66675</xdr:colOff>
      <xdr:row>197</xdr:row>
      <xdr:rowOff>38100</xdr:rowOff>
    </xdr:from>
    <xdr:ext cx="971550" cy="200025"/>
    <xdr:sp macro="" textlink="">
      <xdr:nvSpPr>
        <xdr:cNvPr id="31904" name="Text Box 160"/>
        <xdr:cNvSpPr txBox="1">
          <a:spLocks noChangeArrowheads="1"/>
        </xdr:cNvSpPr>
      </xdr:nvSpPr>
      <xdr:spPr bwMode="auto">
        <a:xfrm>
          <a:off x="3724275" y="32918400"/>
          <a:ext cx="9715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O.D. - (R2+T)x2</a:t>
          </a:r>
        </a:p>
      </xdr:txBody>
    </xdr:sp>
    <xdr:clientData/>
  </xdr:oneCellAnchor>
  <xdr:twoCellAnchor>
    <xdr:from>
      <xdr:col>3</xdr:col>
      <xdr:colOff>266700</xdr:colOff>
      <xdr:row>205</xdr:row>
      <xdr:rowOff>47625</xdr:rowOff>
    </xdr:from>
    <xdr:to>
      <xdr:col>3</xdr:col>
      <xdr:colOff>266700</xdr:colOff>
      <xdr:row>215</xdr:row>
      <xdr:rowOff>0</xdr:rowOff>
    </xdr:to>
    <xdr:sp macro="" textlink="">
      <xdr:nvSpPr>
        <xdr:cNvPr id="31905" name="Line 161"/>
        <xdr:cNvSpPr>
          <a:spLocks noChangeShapeType="1"/>
        </xdr:cNvSpPr>
      </xdr:nvSpPr>
      <xdr:spPr bwMode="auto">
        <a:xfrm>
          <a:off x="2095500" y="34223325"/>
          <a:ext cx="0" cy="15716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352425</xdr:colOff>
      <xdr:row>205</xdr:row>
      <xdr:rowOff>66675</xdr:rowOff>
    </xdr:from>
    <xdr:to>
      <xdr:col>10</xdr:col>
      <xdr:colOff>352425</xdr:colOff>
      <xdr:row>215</xdr:row>
      <xdr:rowOff>28575</xdr:rowOff>
    </xdr:to>
    <xdr:sp macro="" textlink="">
      <xdr:nvSpPr>
        <xdr:cNvPr id="31906" name="Line 162"/>
        <xdr:cNvSpPr>
          <a:spLocks noChangeShapeType="1"/>
        </xdr:cNvSpPr>
      </xdr:nvSpPr>
      <xdr:spPr bwMode="auto">
        <a:xfrm>
          <a:off x="6448425" y="34242375"/>
          <a:ext cx="0" cy="15811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247650</xdr:colOff>
      <xdr:row>214</xdr:row>
      <xdr:rowOff>95250</xdr:rowOff>
    </xdr:from>
    <xdr:to>
      <xdr:col>10</xdr:col>
      <xdr:colOff>342900</xdr:colOff>
      <xdr:row>214</xdr:row>
      <xdr:rowOff>95250</xdr:rowOff>
    </xdr:to>
    <xdr:sp macro="" textlink="">
      <xdr:nvSpPr>
        <xdr:cNvPr id="31907" name="Line 163"/>
        <xdr:cNvSpPr>
          <a:spLocks noChangeShapeType="1"/>
        </xdr:cNvSpPr>
      </xdr:nvSpPr>
      <xdr:spPr bwMode="auto">
        <a:xfrm>
          <a:off x="2076450" y="35728275"/>
          <a:ext cx="43624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5</xdr:col>
      <xdr:colOff>371475</xdr:colOff>
      <xdr:row>213</xdr:row>
      <xdr:rowOff>47625</xdr:rowOff>
    </xdr:from>
    <xdr:ext cx="1495425" cy="200025"/>
    <xdr:sp macro="" textlink="">
      <xdr:nvSpPr>
        <xdr:cNvPr id="31908" name="Text Box 164"/>
        <xdr:cNvSpPr txBox="1">
          <a:spLocks noChangeArrowheads="1"/>
        </xdr:cNvSpPr>
      </xdr:nvSpPr>
      <xdr:spPr bwMode="auto">
        <a:xfrm>
          <a:off x="3419475" y="35518725"/>
          <a:ext cx="14954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Outside Diameter (O.D.)</a:t>
          </a:r>
        </a:p>
      </xdr:txBody>
    </xdr:sp>
    <xdr:clientData/>
  </xdr:oneCellAnchor>
  <xdr:oneCellAnchor>
    <xdr:from>
      <xdr:col>4</xdr:col>
      <xdr:colOff>381000</xdr:colOff>
      <xdr:row>215</xdr:row>
      <xdr:rowOff>47625</xdr:rowOff>
    </xdr:from>
    <xdr:ext cx="3048000" cy="266700"/>
    <xdr:sp macro="" textlink="">
      <xdr:nvSpPr>
        <xdr:cNvPr id="31909" name="Text Box 165"/>
        <xdr:cNvSpPr txBox="1">
          <a:spLocks noChangeArrowheads="1"/>
        </xdr:cNvSpPr>
      </xdr:nvSpPr>
      <xdr:spPr bwMode="auto">
        <a:xfrm>
          <a:off x="2819400" y="35842575"/>
          <a:ext cx="30480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400" b="1" i="0" u="sng" strike="noStrike" baseline="0">
              <a:solidFill>
                <a:srgbClr val="0000FF"/>
              </a:solidFill>
              <a:latin typeface="Arial"/>
              <a:cs typeface="Arial"/>
            </a:rPr>
            <a:t>Flanged and Dished Head </a:t>
          </a:r>
          <a:r>
            <a:rPr lang="en-US" sz="1400" b="1" i="0" u="sng" strike="noStrike" baseline="0">
              <a:solidFill>
                <a:srgbClr val="FF0000"/>
              </a:solidFill>
              <a:latin typeface="Arial"/>
              <a:cs typeface="Arial"/>
            </a:rPr>
            <a:t>(ASME)</a:t>
          </a:r>
        </a:p>
      </xdr:txBody>
    </xdr:sp>
    <xdr:clientData/>
  </xdr:oneCellAnchor>
  <xdr:twoCellAnchor>
    <xdr:from>
      <xdr:col>7</xdr:col>
      <xdr:colOff>19050</xdr:colOff>
      <xdr:row>200</xdr:row>
      <xdr:rowOff>133350</xdr:rowOff>
    </xdr:from>
    <xdr:to>
      <xdr:col>11</xdr:col>
      <xdr:colOff>552450</xdr:colOff>
      <xdr:row>200</xdr:row>
      <xdr:rowOff>133350</xdr:rowOff>
    </xdr:to>
    <xdr:sp macro="" textlink="">
      <xdr:nvSpPr>
        <xdr:cNvPr id="31910" name="Line 166"/>
        <xdr:cNvSpPr>
          <a:spLocks noChangeShapeType="1"/>
        </xdr:cNvSpPr>
      </xdr:nvSpPr>
      <xdr:spPr bwMode="auto">
        <a:xfrm>
          <a:off x="4286250" y="33499425"/>
          <a:ext cx="29718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333375</xdr:colOff>
      <xdr:row>199</xdr:row>
      <xdr:rowOff>19050</xdr:rowOff>
    </xdr:from>
    <xdr:to>
      <xdr:col>13</xdr:col>
      <xdr:colOff>581025</xdr:colOff>
      <xdr:row>202</xdr:row>
      <xdr:rowOff>104775</xdr:rowOff>
    </xdr:to>
    <xdr:sp macro="" textlink="">
      <xdr:nvSpPr>
        <xdr:cNvPr id="31911" name="Rectangle 167"/>
        <xdr:cNvSpPr>
          <a:spLocks noChangeArrowheads="1"/>
        </xdr:cNvSpPr>
      </xdr:nvSpPr>
      <xdr:spPr bwMode="auto">
        <a:xfrm>
          <a:off x="7648575" y="33223200"/>
          <a:ext cx="857250" cy="571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Inside Depth</a:t>
          </a:r>
        </a:p>
        <a:p>
          <a:pPr algn="l" rtl="0">
            <a:defRPr sz="1000"/>
          </a:pPr>
          <a:r>
            <a:rPr lang="en-US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of Dish</a:t>
          </a:r>
        </a:p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"</a:t>
          </a: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IDD"</a:t>
          </a:r>
        </a:p>
      </xdr:txBody>
    </xdr:sp>
    <xdr:clientData/>
  </xdr:twoCellAnchor>
  <xdr:twoCellAnchor>
    <xdr:from>
      <xdr:col>11</xdr:col>
      <xdr:colOff>390525</xdr:colOff>
      <xdr:row>200</xdr:row>
      <xdr:rowOff>133350</xdr:rowOff>
    </xdr:from>
    <xdr:to>
      <xdr:col>12</xdr:col>
      <xdr:colOff>314325</xdr:colOff>
      <xdr:row>202</xdr:row>
      <xdr:rowOff>47625</xdr:rowOff>
    </xdr:to>
    <xdr:sp macro="" textlink="">
      <xdr:nvSpPr>
        <xdr:cNvPr id="31912" name="Line 168"/>
        <xdr:cNvSpPr>
          <a:spLocks noChangeShapeType="1"/>
        </xdr:cNvSpPr>
      </xdr:nvSpPr>
      <xdr:spPr bwMode="auto">
        <a:xfrm flipV="1">
          <a:off x="7096125" y="33499425"/>
          <a:ext cx="533400" cy="2381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oval" w="med" len="med"/>
          <a:tailEnd type="oval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</xdr:col>
      <xdr:colOff>161925</xdr:colOff>
      <xdr:row>220</xdr:row>
      <xdr:rowOff>66675</xdr:rowOff>
    </xdr:from>
    <xdr:ext cx="342900" cy="238125"/>
    <xdr:sp macro="" textlink="">
      <xdr:nvSpPr>
        <xdr:cNvPr id="31913" name="Text Box 169"/>
        <xdr:cNvSpPr txBox="1">
          <a:spLocks noChangeArrowheads="1"/>
        </xdr:cNvSpPr>
      </xdr:nvSpPr>
      <xdr:spPr bwMode="auto">
        <a:xfrm>
          <a:off x="771525" y="36709350"/>
          <a:ext cx="3429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0000FF"/>
              </a:solidFill>
              <a:latin typeface="Arial"/>
              <a:cs typeface="Arial"/>
            </a:rPr>
            <a:t>26"</a:t>
          </a:r>
        </a:p>
      </xdr:txBody>
    </xdr:sp>
    <xdr:clientData/>
  </xdr:oneCellAnchor>
  <xdr:oneCellAnchor>
    <xdr:from>
      <xdr:col>1</xdr:col>
      <xdr:colOff>152400</xdr:colOff>
      <xdr:row>224</xdr:row>
      <xdr:rowOff>57150</xdr:rowOff>
    </xdr:from>
    <xdr:ext cx="342900" cy="238125"/>
    <xdr:sp macro="" textlink="">
      <xdr:nvSpPr>
        <xdr:cNvPr id="31914" name="Text Box 170"/>
        <xdr:cNvSpPr txBox="1">
          <a:spLocks noChangeArrowheads="1"/>
        </xdr:cNvSpPr>
      </xdr:nvSpPr>
      <xdr:spPr bwMode="auto">
        <a:xfrm>
          <a:off x="762000" y="37366575"/>
          <a:ext cx="3429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0000FF"/>
              </a:solidFill>
              <a:latin typeface="Arial"/>
              <a:cs typeface="Arial"/>
            </a:rPr>
            <a:t>28"</a:t>
          </a:r>
        </a:p>
      </xdr:txBody>
    </xdr:sp>
    <xdr:clientData/>
  </xdr:oneCellAnchor>
  <xdr:oneCellAnchor>
    <xdr:from>
      <xdr:col>1</xdr:col>
      <xdr:colOff>133350</xdr:colOff>
      <xdr:row>228</xdr:row>
      <xdr:rowOff>19050</xdr:rowOff>
    </xdr:from>
    <xdr:ext cx="342900" cy="238125"/>
    <xdr:sp macro="" textlink="">
      <xdr:nvSpPr>
        <xdr:cNvPr id="31915" name="Text Box 171"/>
        <xdr:cNvSpPr txBox="1">
          <a:spLocks noChangeArrowheads="1"/>
        </xdr:cNvSpPr>
      </xdr:nvSpPr>
      <xdr:spPr bwMode="auto">
        <a:xfrm>
          <a:off x="742950" y="37995225"/>
          <a:ext cx="3429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0000FF"/>
              </a:solidFill>
              <a:latin typeface="Arial"/>
              <a:cs typeface="Arial"/>
            </a:rPr>
            <a:t>30"</a:t>
          </a:r>
        </a:p>
      </xdr:txBody>
    </xdr:sp>
    <xdr:clientData/>
  </xdr:oneCellAnchor>
  <xdr:oneCellAnchor>
    <xdr:from>
      <xdr:col>1</xdr:col>
      <xdr:colOff>133350</xdr:colOff>
      <xdr:row>232</xdr:row>
      <xdr:rowOff>57150</xdr:rowOff>
    </xdr:from>
    <xdr:ext cx="342900" cy="238125"/>
    <xdr:sp macro="" textlink="">
      <xdr:nvSpPr>
        <xdr:cNvPr id="31916" name="Text Box 172"/>
        <xdr:cNvSpPr txBox="1">
          <a:spLocks noChangeArrowheads="1"/>
        </xdr:cNvSpPr>
      </xdr:nvSpPr>
      <xdr:spPr bwMode="auto">
        <a:xfrm>
          <a:off x="742950" y="38700075"/>
          <a:ext cx="3429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0000FF"/>
              </a:solidFill>
              <a:latin typeface="Arial"/>
              <a:cs typeface="Arial"/>
            </a:rPr>
            <a:t>32"</a:t>
          </a:r>
        </a:p>
      </xdr:txBody>
    </xdr:sp>
    <xdr:clientData/>
  </xdr:oneCellAnchor>
  <xdr:oneCellAnchor>
    <xdr:from>
      <xdr:col>1</xdr:col>
      <xdr:colOff>133350</xdr:colOff>
      <xdr:row>236</xdr:row>
      <xdr:rowOff>47625</xdr:rowOff>
    </xdr:from>
    <xdr:ext cx="342900" cy="238125"/>
    <xdr:sp macro="" textlink="">
      <xdr:nvSpPr>
        <xdr:cNvPr id="31917" name="Text Box 173"/>
        <xdr:cNvSpPr txBox="1">
          <a:spLocks noChangeArrowheads="1"/>
        </xdr:cNvSpPr>
      </xdr:nvSpPr>
      <xdr:spPr bwMode="auto">
        <a:xfrm>
          <a:off x="742950" y="39357300"/>
          <a:ext cx="3429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0000FF"/>
              </a:solidFill>
              <a:latin typeface="Arial"/>
              <a:cs typeface="Arial"/>
            </a:rPr>
            <a:t>34"</a:t>
          </a:r>
        </a:p>
      </xdr:txBody>
    </xdr:sp>
    <xdr:clientData/>
  </xdr:oneCellAnchor>
  <xdr:oneCellAnchor>
    <xdr:from>
      <xdr:col>1</xdr:col>
      <xdr:colOff>133350</xdr:colOff>
      <xdr:row>240</xdr:row>
      <xdr:rowOff>57150</xdr:rowOff>
    </xdr:from>
    <xdr:ext cx="342900" cy="238125"/>
    <xdr:sp macro="" textlink="">
      <xdr:nvSpPr>
        <xdr:cNvPr id="31918" name="Text Box 174"/>
        <xdr:cNvSpPr txBox="1">
          <a:spLocks noChangeArrowheads="1"/>
        </xdr:cNvSpPr>
      </xdr:nvSpPr>
      <xdr:spPr bwMode="auto">
        <a:xfrm>
          <a:off x="742950" y="40033575"/>
          <a:ext cx="3429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0000FF"/>
              </a:solidFill>
              <a:latin typeface="Arial"/>
              <a:cs typeface="Arial"/>
            </a:rPr>
            <a:t>36"</a:t>
          </a:r>
        </a:p>
      </xdr:txBody>
    </xdr:sp>
    <xdr:clientData/>
  </xdr:oneCellAnchor>
  <xdr:oneCellAnchor>
    <xdr:from>
      <xdr:col>1</xdr:col>
      <xdr:colOff>161925</xdr:colOff>
      <xdr:row>245</xdr:row>
      <xdr:rowOff>66675</xdr:rowOff>
    </xdr:from>
    <xdr:ext cx="342900" cy="238125"/>
    <xdr:sp macro="" textlink="">
      <xdr:nvSpPr>
        <xdr:cNvPr id="31919" name="Text Box 175"/>
        <xdr:cNvSpPr txBox="1">
          <a:spLocks noChangeArrowheads="1"/>
        </xdr:cNvSpPr>
      </xdr:nvSpPr>
      <xdr:spPr bwMode="auto">
        <a:xfrm>
          <a:off x="771525" y="40890825"/>
          <a:ext cx="3429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0000FF"/>
              </a:solidFill>
              <a:latin typeface="Arial"/>
              <a:cs typeface="Arial"/>
            </a:rPr>
            <a:t>38"</a:t>
          </a:r>
        </a:p>
      </xdr:txBody>
    </xdr:sp>
    <xdr:clientData/>
  </xdr:oneCellAnchor>
  <xdr:oneCellAnchor>
    <xdr:from>
      <xdr:col>1</xdr:col>
      <xdr:colOff>152400</xdr:colOff>
      <xdr:row>249</xdr:row>
      <xdr:rowOff>57150</xdr:rowOff>
    </xdr:from>
    <xdr:ext cx="342900" cy="238125"/>
    <xdr:sp macro="" textlink="">
      <xdr:nvSpPr>
        <xdr:cNvPr id="31920" name="Text Box 176"/>
        <xdr:cNvSpPr txBox="1">
          <a:spLocks noChangeArrowheads="1"/>
        </xdr:cNvSpPr>
      </xdr:nvSpPr>
      <xdr:spPr bwMode="auto">
        <a:xfrm>
          <a:off x="762000" y="41548050"/>
          <a:ext cx="3429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0000FF"/>
              </a:solidFill>
              <a:latin typeface="Arial"/>
              <a:cs typeface="Arial"/>
            </a:rPr>
            <a:t>40"</a:t>
          </a:r>
        </a:p>
      </xdr:txBody>
    </xdr:sp>
    <xdr:clientData/>
  </xdr:oneCellAnchor>
  <xdr:oneCellAnchor>
    <xdr:from>
      <xdr:col>1</xdr:col>
      <xdr:colOff>133350</xdr:colOff>
      <xdr:row>253</xdr:row>
      <xdr:rowOff>19050</xdr:rowOff>
    </xdr:from>
    <xdr:ext cx="342900" cy="238125"/>
    <xdr:sp macro="" textlink="">
      <xdr:nvSpPr>
        <xdr:cNvPr id="31921" name="Text Box 177"/>
        <xdr:cNvSpPr txBox="1">
          <a:spLocks noChangeArrowheads="1"/>
        </xdr:cNvSpPr>
      </xdr:nvSpPr>
      <xdr:spPr bwMode="auto">
        <a:xfrm>
          <a:off x="742950" y="42176700"/>
          <a:ext cx="3429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0000FF"/>
              </a:solidFill>
              <a:latin typeface="Arial"/>
              <a:cs typeface="Arial"/>
            </a:rPr>
            <a:t>42"</a:t>
          </a:r>
        </a:p>
      </xdr:txBody>
    </xdr:sp>
    <xdr:clientData/>
  </xdr:oneCellAnchor>
  <xdr:oneCellAnchor>
    <xdr:from>
      <xdr:col>1</xdr:col>
      <xdr:colOff>133350</xdr:colOff>
      <xdr:row>257</xdr:row>
      <xdr:rowOff>57150</xdr:rowOff>
    </xdr:from>
    <xdr:ext cx="342900" cy="238125"/>
    <xdr:sp macro="" textlink="">
      <xdr:nvSpPr>
        <xdr:cNvPr id="31922" name="Text Box 178"/>
        <xdr:cNvSpPr txBox="1">
          <a:spLocks noChangeArrowheads="1"/>
        </xdr:cNvSpPr>
      </xdr:nvSpPr>
      <xdr:spPr bwMode="auto">
        <a:xfrm>
          <a:off x="742950" y="42881550"/>
          <a:ext cx="3429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0000FF"/>
              </a:solidFill>
              <a:latin typeface="Arial"/>
              <a:cs typeface="Arial"/>
            </a:rPr>
            <a:t>48"</a:t>
          </a:r>
        </a:p>
      </xdr:txBody>
    </xdr:sp>
    <xdr:clientData/>
  </xdr:oneCellAnchor>
  <xdr:oneCellAnchor>
    <xdr:from>
      <xdr:col>1</xdr:col>
      <xdr:colOff>133350</xdr:colOff>
      <xdr:row>261</xdr:row>
      <xdr:rowOff>47625</xdr:rowOff>
    </xdr:from>
    <xdr:ext cx="342900" cy="238125"/>
    <xdr:sp macro="" textlink="">
      <xdr:nvSpPr>
        <xdr:cNvPr id="31923" name="Text Box 179"/>
        <xdr:cNvSpPr txBox="1">
          <a:spLocks noChangeArrowheads="1"/>
        </xdr:cNvSpPr>
      </xdr:nvSpPr>
      <xdr:spPr bwMode="auto">
        <a:xfrm>
          <a:off x="742950" y="43538775"/>
          <a:ext cx="3429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0000FF"/>
              </a:solidFill>
              <a:latin typeface="Arial"/>
              <a:cs typeface="Arial"/>
            </a:rPr>
            <a:t>54"</a:t>
          </a:r>
        </a:p>
      </xdr:txBody>
    </xdr:sp>
    <xdr:clientData/>
  </xdr:oneCellAnchor>
  <xdr:oneCellAnchor>
    <xdr:from>
      <xdr:col>1</xdr:col>
      <xdr:colOff>133350</xdr:colOff>
      <xdr:row>265</xdr:row>
      <xdr:rowOff>57150</xdr:rowOff>
    </xdr:from>
    <xdr:ext cx="342900" cy="238125"/>
    <xdr:sp macro="" textlink="">
      <xdr:nvSpPr>
        <xdr:cNvPr id="31924" name="Text Box 180"/>
        <xdr:cNvSpPr txBox="1">
          <a:spLocks noChangeArrowheads="1"/>
        </xdr:cNvSpPr>
      </xdr:nvSpPr>
      <xdr:spPr bwMode="auto">
        <a:xfrm>
          <a:off x="742950" y="44215050"/>
          <a:ext cx="3429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0000FF"/>
              </a:solidFill>
              <a:latin typeface="Arial"/>
              <a:cs typeface="Arial"/>
            </a:rPr>
            <a:t>60"</a:t>
          </a:r>
        </a:p>
      </xdr:txBody>
    </xdr:sp>
    <xdr:clientData/>
  </xdr:oneCellAnchor>
  <xdr:oneCellAnchor>
    <xdr:from>
      <xdr:col>1</xdr:col>
      <xdr:colOff>161925</xdr:colOff>
      <xdr:row>270</xdr:row>
      <xdr:rowOff>66675</xdr:rowOff>
    </xdr:from>
    <xdr:ext cx="342900" cy="238125"/>
    <xdr:sp macro="" textlink="">
      <xdr:nvSpPr>
        <xdr:cNvPr id="31925" name="Text Box 181"/>
        <xdr:cNvSpPr txBox="1">
          <a:spLocks noChangeArrowheads="1"/>
        </xdr:cNvSpPr>
      </xdr:nvSpPr>
      <xdr:spPr bwMode="auto">
        <a:xfrm>
          <a:off x="771525" y="45072300"/>
          <a:ext cx="3429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0000FF"/>
              </a:solidFill>
              <a:latin typeface="Arial"/>
              <a:cs typeface="Arial"/>
            </a:rPr>
            <a:t>66"</a:t>
          </a:r>
        </a:p>
      </xdr:txBody>
    </xdr:sp>
    <xdr:clientData/>
  </xdr:oneCellAnchor>
  <xdr:oneCellAnchor>
    <xdr:from>
      <xdr:col>1</xdr:col>
      <xdr:colOff>152400</xdr:colOff>
      <xdr:row>274</xdr:row>
      <xdr:rowOff>57150</xdr:rowOff>
    </xdr:from>
    <xdr:ext cx="342900" cy="238125"/>
    <xdr:sp macro="" textlink="">
      <xdr:nvSpPr>
        <xdr:cNvPr id="31926" name="Text Box 182"/>
        <xdr:cNvSpPr txBox="1">
          <a:spLocks noChangeArrowheads="1"/>
        </xdr:cNvSpPr>
      </xdr:nvSpPr>
      <xdr:spPr bwMode="auto">
        <a:xfrm>
          <a:off x="762000" y="45729525"/>
          <a:ext cx="3429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0000FF"/>
              </a:solidFill>
              <a:latin typeface="Arial"/>
              <a:cs typeface="Arial"/>
            </a:rPr>
            <a:t>72"</a:t>
          </a:r>
        </a:p>
      </xdr:txBody>
    </xdr:sp>
    <xdr:clientData/>
  </xdr:oneCellAnchor>
  <xdr:oneCellAnchor>
    <xdr:from>
      <xdr:col>1</xdr:col>
      <xdr:colOff>133350</xdr:colOff>
      <xdr:row>278</xdr:row>
      <xdr:rowOff>19050</xdr:rowOff>
    </xdr:from>
    <xdr:ext cx="342900" cy="238125"/>
    <xdr:sp macro="" textlink="">
      <xdr:nvSpPr>
        <xdr:cNvPr id="31927" name="Text Box 183"/>
        <xdr:cNvSpPr txBox="1">
          <a:spLocks noChangeArrowheads="1"/>
        </xdr:cNvSpPr>
      </xdr:nvSpPr>
      <xdr:spPr bwMode="auto">
        <a:xfrm>
          <a:off x="742950" y="46358175"/>
          <a:ext cx="3429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0000FF"/>
              </a:solidFill>
              <a:latin typeface="Arial"/>
              <a:cs typeface="Arial"/>
            </a:rPr>
            <a:t>78"</a:t>
          </a:r>
        </a:p>
      </xdr:txBody>
    </xdr:sp>
    <xdr:clientData/>
  </xdr:oneCellAnchor>
  <xdr:oneCellAnchor>
    <xdr:from>
      <xdr:col>1</xdr:col>
      <xdr:colOff>133350</xdr:colOff>
      <xdr:row>282</xdr:row>
      <xdr:rowOff>57150</xdr:rowOff>
    </xdr:from>
    <xdr:ext cx="342900" cy="238125"/>
    <xdr:sp macro="" textlink="">
      <xdr:nvSpPr>
        <xdr:cNvPr id="31928" name="Text Box 184"/>
        <xdr:cNvSpPr txBox="1">
          <a:spLocks noChangeArrowheads="1"/>
        </xdr:cNvSpPr>
      </xdr:nvSpPr>
      <xdr:spPr bwMode="auto">
        <a:xfrm>
          <a:off x="742950" y="47063025"/>
          <a:ext cx="3429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0000FF"/>
              </a:solidFill>
              <a:latin typeface="Arial"/>
              <a:cs typeface="Arial"/>
            </a:rPr>
            <a:t>84"</a:t>
          </a:r>
        </a:p>
      </xdr:txBody>
    </xdr:sp>
    <xdr:clientData/>
  </xdr:oneCellAnchor>
  <xdr:oneCellAnchor>
    <xdr:from>
      <xdr:col>1</xdr:col>
      <xdr:colOff>133350</xdr:colOff>
      <xdr:row>286</xdr:row>
      <xdr:rowOff>47625</xdr:rowOff>
    </xdr:from>
    <xdr:ext cx="342900" cy="238125"/>
    <xdr:sp macro="" textlink="">
      <xdr:nvSpPr>
        <xdr:cNvPr id="31929" name="Text Box 185"/>
        <xdr:cNvSpPr txBox="1">
          <a:spLocks noChangeArrowheads="1"/>
        </xdr:cNvSpPr>
      </xdr:nvSpPr>
      <xdr:spPr bwMode="auto">
        <a:xfrm>
          <a:off x="742950" y="47720250"/>
          <a:ext cx="3429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0000FF"/>
              </a:solidFill>
              <a:latin typeface="Arial"/>
              <a:cs typeface="Arial"/>
            </a:rPr>
            <a:t>90"</a:t>
          </a:r>
        </a:p>
      </xdr:txBody>
    </xdr:sp>
    <xdr:clientData/>
  </xdr:oneCellAnchor>
  <xdr:oneCellAnchor>
    <xdr:from>
      <xdr:col>1</xdr:col>
      <xdr:colOff>133350</xdr:colOff>
      <xdr:row>290</xdr:row>
      <xdr:rowOff>57150</xdr:rowOff>
    </xdr:from>
    <xdr:ext cx="342900" cy="238125"/>
    <xdr:sp macro="" textlink="">
      <xdr:nvSpPr>
        <xdr:cNvPr id="31930" name="Text Box 186"/>
        <xdr:cNvSpPr txBox="1">
          <a:spLocks noChangeArrowheads="1"/>
        </xdr:cNvSpPr>
      </xdr:nvSpPr>
      <xdr:spPr bwMode="auto">
        <a:xfrm>
          <a:off x="742950" y="48396525"/>
          <a:ext cx="3429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0000FF"/>
              </a:solidFill>
              <a:latin typeface="Arial"/>
              <a:cs typeface="Arial"/>
            </a:rPr>
            <a:t>96"</a:t>
          </a:r>
        </a:p>
      </xdr:txBody>
    </xdr:sp>
    <xdr:clientData/>
  </xdr:oneCellAnchor>
  <xdr:oneCellAnchor>
    <xdr:from>
      <xdr:col>1</xdr:col>
      <xdr:colOff>76200</xdr:colOff>
      <xdr:row>295</xdr:row>
      <xdr:rowOff>66675</xdr:rowOff>
    </xdr:from>
    <xdr:ext cx="428625" cy="238125"/>
    <xdr:sp macro="" textlink="">
      <xdr:nvSpPr>
        <xdr:cNvPr id="31931" name="Text Box 187"/>
        <xdr:cNvSpPr txBox="1">
          <a:spLocks noChangeArrowheads="1"/>
        </xdr:cNvSpPr>
      </xdr:nvSpPr>
      <xdr:spPr bwMode="auto">
        <a:xfrm>
          <a:off x="685800" y="49253775"/>
          <a:ext cx="4286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0000FF"/>
              </a:solidFill>
              <a:latin typeface="Arial"/>
              <a:cs typeface="Arial"/>
            </a:rPr>
            <a:t>102"</a:t>
          </a:r>
        </a:p>
      </xdr:txBody>
    </xdr:sp>
    <xdr:clientData/>
  </xdr:oneCellAnchor>
  <xdr:oneCellAnchor>
    <xdr:from>
      <xdr:col>1</xdr:col>
      <xdr:colOff>104775</xdr:colOff>
      <xdr:row>299</xdr:row>
      <xdr:rowOff>57150</xdr:rowOff>
    </xdr:from>
    <xdr:ext cx="428625" cy="238125"/>
    <xdr:sp macro="" textlink="">
      <xdr:nvSpPr>
        <xdr:cNvPr id="31932" name="Text Box 188"/>
        <xdr:cNvSpPr txBox="1">
          <a:spLocks noChangeArrowheads="1"/>
        </xdr:cNvSpPr>
      </xdr:nvSpPr>
      <xdr:spPr bwMode="auto">
        <a:xfrm>
          <a:off x="714375" y="49911000"/>
          <a:ext cx="4286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0000FF"/>
              </a:solidFill>
              <a:latin typeface="Arial"/>
              <a:cs typeface="Arial"/>
            </a:rPr>
            <a:t>108"</a:t>
          </a:r>
        </a:p>
      </xdr:txBody>
    </xdr:sp>
    <xdr:clientData/>
  </xdr:oneCellAnchor>
  <xdr:oneCellAnchor>
    <xdr:from>
      <xdr:col>1</xdr:col>
      <xdr:colOff>95250</xdr:colOff>
      <xdr:row>303</xdr:row>
      <xdr:rowOff>19050</xdr:rowOff>
    </xdr:from>
    <xdr:ext cx="428625" cy="238125"/>
    <xdr:sp macro="" textlink="">
      <xdr:nvSpPr>
        <xdr:cNvPr id="31933" name="Text Box 189"/>
        <xdr:cNvSpPr txBox="1">
          <a:spLocks noChangeArrowheads="1"/>
        </xdr:cNvSpPr>
      </xdr:nvSpPr>
      <xdr:spPr bwMode="auto">
        <a:xfrm>
          <a:off x="704850" y="50539650"/>
          <a:ext cx="4286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0000FF"/>
              </a:solidFill>
              <a:latin typeface="Arial"/>
              <a:cs typeface="Arial"/>
            </a:rPr>
            <a:t>114"</a:t>
          </a:r>
        </a:p>
      </xdr:txBody>
    </xdr:sp>
    <xdr:clientData/>
  </xdr:oneCellAnchor>
  <xdr:oneCellAnchor>
    <xdr:from>
      <xdr:col>1</xdr:col>
      <xdr:colOff>114300</xdr:colOff>
      <xdr:row>307</xdr:row>
      <xdr:rowOff>76200</xdr:rowOff>
    </xdr:from>
    <xdr:ext cx="428625" cy="238125"/>
    <xdr:sp macro="" textlink="">
      <xdr:nvSpPr>
        <xdr:cNvPr id="31934" name="Text Box 190"/>
        <xdr:cNvSpPr txBox="1">
          <a:spLocks noChangeArrowheads="1"/>
        </xdr:cNvSpPr>
      </xdr:nvSpPr>
      <xdr:spPr bwMode="auto">
        <a:xfrm>
          <a:off x="723900" y="51263550"/>
          <a:ext cx="4286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0000FF"/>
              </a:solidFill>
              <a:latin typeface="Arial"/>
              <a:cs typeface="Arial"/>
            </a:rPr>
            <a:t>120"</a:t>
          </a:r>
        </a:p>
      </xdr:txBody>
    </xdr:sp>
    <xdr:clientData/>
  </xdr:oneCellAnchor>
  <xdr:oneCellAnchor>
    <xdr:from>
      <xdr:col>1</xdr:col>
      <xdr:colOff>133350</xdr:colOff>
      <xdr:row>311</xdr:row>
      <xdr:rowOff>47625</xdr:rowOff>
    </xdr:from>
    <xdr:ext cx="428625" cy="238125"/>
    <xdr:sp macro="" textlink="">
      <xdr:nvSpPr>
        <xdr:cNvPr id="31935" name="Text Box 191"/>
        <xdr:cNvSpPr txBox="1">
          <a:spLocks noChangeArrowheads="1"/>
        </xdr:cNvSpPr>
      </xdr:nvSpPr>
      <xdr:spPr bwMode="auto">
        <a:xfrm>
          <a:off x="742950" y="51901725"/>
          <a:ext cx="4286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0000FF"/>
              </a:solidFill>
              <a:latin typeface="Arial"/>
              <a:cs typeface="Arial"/>
            </a:rPr>
            <a:t>126"</a:t>
          </a:r>
        </a:p>
      </xdr:txBody>
    </xdr:sp>
    <xdr:clientData/>
  </xdr:oneCellAnchor>
  <xdr:oneCellAnchor>
    <xdr:from>
      <xdr:col>1</xdr:col>
      <xdr:colOff>133350</xdr:colOff>
      <xdr:row>315</xdr:row>
      <xdr:rowOff>57150</xdr:rowOff>
    </xdr:from>
    <xdr:ext cx="428625" cy="238125"/>
    <xdr:sp macro="" textlink="">
      <xdr:nvSpPr>
        <xdr:cNvPr id="31936" name="Text Box 192"/>
        <xdr:cNvSpPr txBox="1">
          <a:spLocks noChangeArrowheads="1"/>
        </xdr:cNvSpPr>
      </xdr:nvSpPr>
      <xdr:spPr bwMode="auto">
        <a:xfrm>
          <a:off x="742950" y="52578000"/>
          <a:ext cx="4286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0000FF"/>
              </a:solidFill>
              <a:latin typeface="Arial"/>
              <a:cs typeface="Arial"/>
            </a:rPr>
            <a:t>132"</a:t>
          </a:r>
        </a:p>
      </xdr:txBody>
    </xdr:sp>
    <xdr:clientData/>
  </xdr:oneCellAnchor>
  <xdr:oneCellAnchor>
    <xdr:from>
      <xdr:col>1</xdr:col>
      <xdr:colOff>76200</xdr:colOff>
      <xdr:row>320</xdr:row>
      <xdr:rowOff>66675</xdr:rowOff>
    </xdr:from>
    <xdr:ext cx="428625" cy="238125"/>
    <xdr:sp macro="" textlink="">
      <xdr:nvSpPr>
        <xdr:cNvPr id="31937" name="Text Box 193"/>
        <xdr:cNvSpPr txBox="1">
          <a:spLocks noChangeArrowheads="1"/>
        </xdr:cNvSpPr>
      </xdr:nvSpPr>
      <xdr:spPr bwMode="auto">
        <a:xfrm>
          <a:off x="685800" y="53435250"/>
          <a:ext cx="4286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0000FF"/>
              </a:solidFill>
              <a:latin typeface="Arial"/>
              <a:cs typeface="Arial"/>
            </a:rPr>
            <a:t>138"</a:t>
          </a:r>
        </a:p>
      </xdr:txBody>
    </xdr:sp>
    <xdr:clientData/>
  </xdr:oneCellAnchor>
  <xdr:oneCellAnchor>
    <xdr:from>
      <xdr:col>1</xdr:col>
      <xdr:colOff>104775</xdr:colOff>
      <xdr:row>324</xdr:row>
      <xdr:rowOff>57150</xdr:rowOff>
    </xdr:from>
    <xdr:ext cx="428625" cy="238125"/>
    <xdr:sp macro="" textlink="">
      <xdr:nvSpPr>
        <xdr:cNvPr id="31938" name="Text Box 194"/>
        <xdr:cNvSpPr txBox="1">
          <a:spLocks noChangeArrowheads="1"/>
        </xdr:cNvSpPr>
      </xdr:nvSpPr>
      <xdr:spPr bwMode="auto">
        <a:xfrm>
          <a:off x="714375" y="54092475"/>
          <a:ext cx="4286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0000FF"/>
              </a:solidFill>
              <a:latin typeface="Arial"/>
              <a:cs typeface="Arial"/>
            </a:rPr>
            <a:t>144"</a:t>
          </a:r>
        </a:p>
      </xdr:txBody>
    </xdr:sp>
    <xdr:clientData/>
  </xdr:oneCellAnchor>
  <xdr:oneCellAnchor>
    <xdr:from>
      <xdr:col>1</xdr:col>
      <xdr:colOff>95250</xdr:colOff>
      <xdr:row>328</xdr:row>
      <xdr:rowOff>19050</xdr:rowOff>
    </xdr:from>
    <xdr:ext cx="428625" cy="238125"/>
    <xdr:sp macro="" textlink="">
      <xdr:nvSpPr>
        <xdr:cNvPr id="31939" name="Text Box 195"/>
        <xdr:cNvSpPr txBox="1">
          <a:spLocks noChangeArrowheads="1"/>
        </xdr:cNvSpPr>
      </xdr:nvSpPr>
      <xdr:spPr bwMode="auto">
        <a:xfrm>
          <a:off x="704850" y="54721125"/>
          <a:ext cx="4286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0000FF"/>
              </a:solidFill>
              <a:latin typeface="Arial"/>
              <a:cs typeface="Arial"/>
            </a:rPr>
            <a:t>156"</a:t>
          </a:r>
        </a:p>
      </xdr:txBody>
    </xdr:sp>
    <xdr:clientData/>
  </xdr:oneCellAnchor>
  <xdr:oneCellAnchor>
    <xdr:from>
      <xdr:col>1</xdr:col>
      <xdr:colOff>114300</xdr:colOff>
      <xdr:row>332</xdr:row>
      <xdr:rowOff>76200</xdr:rowOff>
    </xdr:from>
    <xdr:ext cx="428625" cy="238125"/>
    <xdr:sp macro="" textlink="">
      <xdr:nvSpPr>
        <xdr:cNvPr id="31940" name="Text Box 196"/>
        <xdr:cNvSpPr txBox="1">
          <a:spLocks noChangeArrowheads="1"/>
        </xdr:cNvSpPr>
      </xdr:nvSpPr>
      <xdr:spPr bwMode="auto">
        <a:xfrm>
          <a:off x="723900" y="55445025"/>
          <a:ext cx="4286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0000FF"/>
              </a:solidFill>
              <a:latin typeface="Arial"/>
              <a:cs typeface="Arial"/>
            </a:rPr>
            <a:t>168"</a:t>
          </a:r>
        </a:p>
      </xdr:txBody>
    </xdr:sp>
    <xdr:clientData/>
  </xdr:oneCellAnchor>
  <xdr:oneCellAnchor>
    <xdr:from>
      <xdr:col>1</xdr:col>
      <xdr:colOff>133350</xdr:colOff>
      <xdr:row>336</xdr:row>
      <xdr:rowOff>47625</xdr:rowOff>
    </xdr:from>
    <xdr:ext cx="428625" cy="238125"/>
    <xdr:sp macro="" textlink="">
      <xdr:nvSpPr>
        <xdr:cNvPr id="31941" name="Text Box 197"/>
        <xdr:cNvSpPr txBox="1">
          <a:spLocks noChangeArrowheads="1"/>
        </xdr:cNvSpPr>
      </xdr:nvSpPr>
      <xdr:spPr bwMode="auto">
        <a:xfrm>
          <a:off x="742950" y="56083200"/>
          <a:ext cx="4286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0000FF"/>
              </a:solidFill>
              <a:latin typeface="Arial"/>
              <a:cs typeface="Arial"/>
            </a:rPr>
            <a:t>180"</a:t>
          </a:r>
        </a:p>
      </xdr:txBody>
    </xdr:sp>
    <xdr:clientData/>
  </xdr:oneCellAnchor>
  <xdr:oneCellAnchor>
    <xdr:from>
      <xdr:col>1</xdr:col>
      <xdr:colOff>133350</xdr:colOff>
      <xdr:row>340</xdr:row>
      <xdr:rowOff>57150</xdr:rowOff>
    </xdr:from>
    <xdr:ext cx="428625" cy="238125"/>
    <xdr:sp macro="" textlink="">
      <xdr:nvSpPr>
        <xdr:cNvPr id="31942" name="Text Box 198"/>
        <xdr:cNvSpPr txBox="1">
          <a:spLocks noChangeArrowheads="1"/>
        </xdr:cNvSpPr>
      </xdr:nvSpPr>
      <xdr:spPr bwMode="auto">
        <a:xfrm>
          <a:off x="742950" y="56759475"/>
          <a:ext cx="4286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0000FF"/>
              </a:solidFill>
              <a:latin typeface="Arial"/>
              <a:cs typeface="Arial"/>
            </a:rPr>
            <a:t>192"</a:t>
          </a:r>
        </a:p>
      </xdr:txBody>
    </xdr:sp>
    <xdr:clientData/>
  </xdr:oneCellAnchor>
  <xdr:oneCellAnchor>
    <xdr:from>
      <xdr:col>1</xdr:col>
      <xdr:colOff>76200</xdr:colOff>
      <xdr:row>345</xdr:row>
      <xdr:rowOff>66675</xdr:rowOff>
    </xdr:from>
    <xdr:ext cx="428625" cy="238125"/>
    <xdr:sp macro="" textlink="">
      <xdr:nvSpPr>
        <xdr:cNvPr id="31943" name="Text Box 199"/>
        <xdr:cNvSpPr txBox="1">
          <a:spLocks noChangeArrowheads="1"/>
        </xdr:cNvSpPr>
      </xdr:nvSpPr>
      <xdr:spPr bwMode="auto">
        <a:xfrm>
          <a:off x="685800" y="57616725"/>
          <a:ext cx="4286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0000FF"/>
              </a:solidFill>
              <a:latin typeface="Arial"/>
              <a:cs typeface="Arial"/>
            </a:rPr>
            <a:t>204"</a:t>
          </a:r>
        </a:p>
      </xdr:txBody>
    </xdr:sp>
    <xdr:clientData/>
  </xdr:oneCellAnchor>
  <xdr:oneCellAnchor>
    <xdr:from>
      <xdr:col>1</xdr:col>
      <xdr:colOff>76200</xdr:colOff>
      <xdr:row>349</xdr:row>
      <xdr:rowOff>66675</xdr:rowOff>
    </xdr:from>
    <xdr:ext cx="428625" cy="238125"/>
    <xdr:sp macro="" textlink="">
      <xdr:nvSpPr>
        <xdr:cNvPr id="31944" name="Text Box 200"/>
        <xdr:cNvSpPr txBox="1">
          <a:spLocks noChangeArrowheads="1"/>
        </xdr:cNvSpPr>
      </xdr:nvSpPr>
      <xdr:spPr bwMode="auto">
        <a:xfrm>
          <a:off x="685800" y="58283475"/>
          <a:ext cx="4286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0000FF"/>
              </a:solidFill>
              <a:latin typeface="Arial"/>
              <a:cs typeface="Arial"/>
            </a:rPr>
            <a:t>210"</a:t>
          </a:r>
        </a:p>
      </xdr:txBody>
    </xdr:sp>
    <xdr:clientData/>
  </xdr:oneCellAnchor>
  <xdr:oneCellAnchor>
    <xdr:from>
      <xdr:col>1</xdr:col>
      <xdr:colOff>76200</xdr:colOff>
      <xdr:row>353</xdr:row>
      <xdr:rowOff>66675</xdr:rowOff>
    </xdr:from>
    <xdr:ext cx="428625" cy="238125"/>
    <xdr:sp macro="" textlink="">
      <xdr:nvSpPr>
        <xdr:cNvPr id="31945" name="Text Box 201"/>
        <xdr:cNvSpPr txBox="1">
          <a:spLocks noChangeArrowheads="1"/>
        </xdr:cNvSpPr>
      </xdr:nvSpPr>
      <xdr:spPr bwMode="auto">
        <a:xfrm>
          <a:off x="685800" y="58950225"/>
          <a:ext cx="4286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0000FF"/>
              </a:solidFill>
              <a:latin typeface="Arial"/>
              <a:cs typeface="Arial"/>
            </a:rPr>
            <a:t>216"</a:t>
          </a:r>
        </a:p>
      </xdr:txBody>
    </xdr:sp>
    <xdr:clientData/>
  </xdr:oneCellAnchor>
  <xdr:oneCellAnchor>
    <xdr:from>
      <xdr:col>1</xdr:col>
      <xdr:colOff>76200</xdr:colOff>
      <xdr:row>357</xdr:row>
      <xdr:rowOff>66675</xdr:rowOff>
    </xdr:from>
    <xdr:ext cx="428625" cy="238125"/>
    <xdr:sp macro="" textlink="">
      <xdr:nvSpPr>
        <xdr:cNvPr id="31946" name="Text Box 202"/>
        <xdr:cNvSpPr txBox="1">
          <a:spLocks noChangeArrowheads="1"/>
        </xdr:cNvSpPr>
      </xdr:nvSpPr>
      <xdr:spPr bwMode="auto">
        <a:xfrm>
          <a:off x="685800" y="59616975"/>
          <a:ext cx="4286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0000FF"/>
              </a:solidFill>
              <a:latin typeface="Arial"/>
              <a:cs typeface="Arial"/>
            </a:rPr>
            <a:t>228"</a:t>
          </a:r>
        </a:p>
      </xdr:txBody>
    </xdr:sp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114300</xdr:colOff>
      <xdr:row>4</xdr:row>
      <xdr:rowOff>95250</xdr:rowOff>
    </xdr:from>
    <xdr:to>
      <xdr:col>5</xdr:col>
      <xdr:colOff>476250</xdr:colOff>
      <xdr:row>4</xdr:row>
      <xdr:rowOff>95250</xdr:rowOff>
    </xdr:to>
    <xdr:sp macro="" textlink="">
      <xdr:nvSpPr>
        <xdr:cNvPr id="30721" name="Line 1"/>
        <xdr:cNvSpPr>
          <a:spLocks noChangeShapeType="1"/>
        </xdr:cNvSpPr>
      </xdr:nvSpPr>
      <xdr:spPr bwMode="auto">
        <a:xfrm>
          <a:off x="2324100" y="762000"/>
          <a:ext cx="1200150" cy="0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219075</xdr:colOff>
      <xdr:row>4</xdr:row>
      <xdr:rowOff>104775</xdr:rowOff>
    </xdr:from>
    <xdr:to>
      <xdr:col>4</xdr:col>
      <xdr:colOff>352425</xdr:colOff>
      <xdr:row>5</xdr:row>
      <xdr:rowOff>104775</xdr:rowOff>
    </xdr:to>
    <xdr:sp macro="" textlink="">
      <xdr:nvSpPr>
        <xdr:cNvPr id="30722" name="AutoShape 2"/>
        <xdr:cNvSpPr>
          <a:spLocks noChangeArrowheads="1"/>
        </xdr:cNvSpPr>
      </xdr:nvSpPr>
      <xdr:spPr bwMode="auto">
        <a:xfrm>
          <a:off x="2428875" y="771525"/>
          <a:ext cx="133350" cy="161925"/>
        </a:xfrm>
        <a:prstGeom prst="upArrow">
          <a:avLst>
            <a:gd name="adj1" fmla="val 42861"/>
            <a:gd name="adj2" fmla="val 35715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857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285750</xdr:colOff>
      <xdr:row>4</xdr:row>
      <xdr:rowOff>104775</xdr:rowOff>
    </xdr:from>
    <xdr:to>
      <xdr:col>5</xdr:col>
      <xdr:colOff>419100</xdr:colOff>
      <xdr:row>5</xdr:row>
      <xdr:rowOff>104775</xdr:rowOff>
    </xdr:to>
    <xdr:sp macro="" textlink="">
      <xdr:nvSpPr>
        <xdr:cNvPr id="30723" name="AutoShape 3"/>
        <xdr:cNvSpPr>
          <a:spLocks noChangeArrowheads="1"/>
        </xdr:cNvSpPr>
      </xdr:nvSpPr>
      <xdr:spPr bwMode="auto">
        <a:xfrm>
          <a:off x="3333750" y="771525"/>
          <a:ext cx="133350" cy="161925"/>
        </a:xfrm>
        <a:prstGeom prst="upArrow">
          <a:avLst>
            <a:gd name="adj1" fmla="val 42861"/>
            <a:gd name="adj2" fmla="val 35715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857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285750</xdr:colOff>
      <xdr:row>3</xdr:row>
      <xdr:rowOff>47625</xdr:rowOff>
    </xdr:from>
    <xdr:to>
      <xdr:col>4</xdr:col>
      <xdr:colOff>285750</xdr:colOff>
      <xdr:row>4</xdr:row>
      <xdr:rowOff>66675</xdr:rowOff>
    </xdr:to>
    <xdr:sp macro="" textlink="">
      <xdr:nvSpPr>
        <xdr:cNvPr id="30724" name="Line 4"/>
        <xdr:cNvSpPr>
          <a:spLocks noChangeShapeType="1"/>
        </xdr:cNvSpPr>
      </xdr:nvSpPr>
      <xdr:spPr bwMode="auto">
        <a:xfrm flipV="1">
          <a:off x="2495550" y="5524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352425</xdr:colOff>
      <xdr:row>3</xdr:row>
      <xdr:rowOff>66675</xdr:rowOff>
    </xdr:from>
    <xdr:to>
      <xdr:col>5</xdr:col>
      <xdr:colOff>352425</xdr:colOff>
      <xdr:row>4</xdr:row>
      <xdr:rowOff>85725</xdr:rowOff>
    </xdr:to>
    <xdr:sp macro="" textlink="">
      <xdr:nvSpPr>
        <xdr:cNvPr id="30725" name="Line 5"/>
        <xdr:cNvSpPr>
          <a:spLocks noChangeShapeType="1"/>
        </xdr:cNvSpPr>
      </xdr:nvSpPr>
      <xdr:spPr bwMode="auto">
        <a:xfrm flipV="1">
          <a:off x="3400425" y="57150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285750</xdr:colOff>
      <xdr:row>3</xdr:row>
      <xdr:rowOff>85725</xdr:rowOff>
    </xdr:from>
    <xdr:to>
      <xdr:col>5</xdr:col>
      <xdr:colOff>352425</xdr:colOff>
      <xdr:row>3</xdr:row>
      <xdr:rowOff>85725</xdr:rowOff>
    </xdr:to>
    <xdr:sp macro="" textlink="">
      <xdr:nvSpPr>
        <xdr:cNvPr id="30726" name="Line 6"/>
        <xdr:cNvSpPr>
          <a:spLocks noChangeShapeType="1"/>
        </xdr:cNvSpPr>
      </xdr:nvSpPr>
      <xdr:spPr bwMode="auto">
        <a:xfrm>
          <a:off x="2495550" y="590550"/>
          <a:ext cx="9048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123825</xdr:colOff>
      <xdr:row>3</xdr:row>
      <xdr:rowOff>57150</xdr:rowOff>
    </xdr:from>
    <xdr:to>
      <xdr:col>6</xdr:col>
      <xdr:colOff>581025</xdr:colOff>
      <xdr:row>5</xdr:row>
      <xdr:rowOff>76200</xdr:rowOff>
    </xdr:to>
    <xdr:sp macro="" textlink="">
      <xdr:nvSpPr>
        <xdr:cNvPr id="30727" name="Line 7"/>
        <xdr:cNvSpPr>
          <a:spLocks noChangeShapeType="1"/>
        </xdr:cNvSpPr>
      </xdr:nvSpPr>
      <xdr:spPr bwMode="auto">
        <a:xfrm flipV="1">
          <a:off x="3971925" y="561975"/>
          <a:ext cx="457200" cy="342900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581025</xdr:colOff>
      <xdr:row>3</xdr:row>
      <xdr:rowOff>57150</xdr:rowOff>
    </xdr:from>
    <xdr:to>
      <xdr:col>6</xdr:col>
      <xdr:colOff>1314450</xdr:colOff>
      <xdr:row>5</xdr:row>
      <xdr:rowOff>47625</xdr:rowOff>
    </xdr:to>
    <xdr:sp macro="" textlink="">
      <xdr:nvSpPr>
        <xdr:cNvPr id="30728" name="Line 8"/>
        <xdr:cNvSpPr>
          <a:spLocks noChangeShapeType="1"/>
        </xdr:cNvSpPr>
      </xdr:nvSpPr>
      <xdr:spPr bwMode="auto">
        <a:xfrm>
          <a:off x="4429125" y="561975"/>
          <a:ext cx="733425" cy="31432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228600</xdr:colOff>
      <xdr:row>4</xdr:row>
      <xdr:rowOff>142875</xdr:rowOff>
    </xdr:from>
    <xdr:to>
      <xdr:col>6</xdr:col>
      <xdr:colOff>361950</xdr:colOff>
      <xdr:row>5</xdr:row>
      <xdr:rowOff>142875</xdr:rowOff>
    </xdr:to>
    <xdr:sp macro="" textlink="">
      <xdr:nvSpPr>
        <xdr:cNvPr id="30729" name="AutoShape 9"/>
        <xdr:cNvSpPr>
          <a:spLocks noChangeArrowheads="1"/>
        </xdr:cNvSpPr>
      </xdr:nvSpPr>
      <xdr:spPr bwMode="auto">
        <a:xfrm>
          <a:off x="4076700" y="809625"/>
          <a:ext cx="133350" cy="161925"/>
        </a:xfrm>
        <a:prstGeom prst="upArrow">
          <a:avLst>
            <a:gd name="adj1" fmla="val 42861"/>
            <a:gd name="adj2" fmla="val 35715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857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1123950</xdr:colOff>
      <xdr:row>5</xdr:row>
      <xdr:rowOff>9525</xdr:rowOff>
    </xdr:from>
    <xdr:to>
      <xdr:col>6</xdr:col>
      <xdr:colOff>1257300</xdr:colOff>
      <xdr:row>6</xdr:row>
      <xdr:rowOff>0</xdr:rowOff>
    </xdr:to>
    <xdr:sp macro="" textlink="">
      <xdr:nvSpPr>
        <xdr:cNvPr id="30730" name="AutoShape 10"/>
        <xdr:cNvSpPr>
          <a:spLocks noChangeArrowheads="1"/>
        </xdr:cNvSpPr>
      </xdr:nvSpPr>
      <xdr:spPr bwMode="auto">
        <a:xfrm>
          <a:off x="4972050" y="838200"/>
          <a:ext cx="133350" cy="161925"/>
        </a:xfrm>
        <a:prstGeom prst="upArrow">
          <a:avLst>
            <a:gd name="adj1" fmla="val 42861"/>
            <a:gd name="adj2" fmla="val 35715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857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1190625</xdr:colOff>
      <xdr:row>3</xdr:row>
      <xdr:rowOff>104775</xdr:rowOff>
    </xdr:from>
    <xdr:to>
      <xdr:col>6</xdr:col>
      <xdr:colOff>1190625</xdr:colOff>
      <xdr:row>4</xdr:row>
      <xdr:rowOff>114300</xdr:rowOff>
    </xdr:to>
    <xdr:sp macro="" textlink="">
      <xdr:nvSpPr>
        <xdr:cNvPr id="30731" name="Line 11"/>
        <xdr:cNvSpPr>
          <a:spLocks noChangeShapeType="1"/>
        </xdr:cNvSpPr>
      </xdr:nvSpPr>
      <xdr:spPr bwMode="auto">
        <a:xfrm flipV="1">
          <a:off x="5038725" y="609600"/>
          <a:ext cx="0" cy="1714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276225</xdr:colOff>
      <xdr:row>3</xdr:row>
      <xdr:rowOff>38100</xdr:rowOff>
    </xdr:from>
    <xdr:to>
      <xdr:col>6</xdr:col>
      <xdr:colOff>276225</xdr:colOff>
      <xdr:row>4</xdr:row>
      <xdr:rowOff>95250</xdr:rowOff>
    </xdr:to>
    <xdr:sp macro="" textlink="">
      <xdr:nvSpPr>
        <xdr:cNvPr id="30732" name="Line 12"/>
        <xdr:cNvSpPr>
          <a:spLocks noChangeShapeType="1"/>
        </xdr:cNvSpPr>
      </xdr:nvSpPr>
      <xdr:spPr bwMode="auto">
        <a:xfrm flipV="1">
          <a:off x="4124325" y="542925"/>
          <a:ext cx="0" cy="2190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276225</xdr:colOff>
      <xdr:row>2</xdr:row>
      <xdr:rowOff>66675</xdr:rowOff>
    </xdr:from>
    <xdr:to>
      <xdr:col>6</xdr:col>
      <xdr:colOff>552450</xdr:colOff>
      <xdr:row>3</xdr:row>
      <xdr:rowOff>57150</xdr:rowOff>
    </xdr:to>
    <xdr:sp macro="" textlink="">
      <xdr:nvSpPr>
        <xdr:cNvPr id="30733" name="Line 13"/>
        <xdr:cNvSpPr>
          <a:spLocks noChangeShapeType="1"/>
        </xdr:cNvSpPr>
      </xdr:nvSpPr>
      <xdr:spPr bwMode="auto">
        <a:xfrm flipV="1">
          <a:off x="4124325" y="400050"/>
          <a:ext cx="276225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561975</xdr:colOff>
      <xdr:row>2</xdr:row>
      <xdr:rowOff>66675</xdr:rowOff>
    </xdr:from>
    <xdr:to>
      <xdr:col>6</xdr:col>
      <xdr:colOff>1181100</xdr:colOff>
      <xdr:row>4</xdr:row>
      <xdr:rowOff>0</xdr:rowOff>
    </xdr:to>
    <xdr:sp macro="" textlink="">
      <xdr:nvSpPr>
        <xdr:cNvPr id="30734" name="Line 14"/>
        <xdr:cNvSpPr>
          <a:spLocks noChangeShapeType="1"/>
        </xdr:cNvSpPr>
      </xdr:nvSpPr>
      <xdr:spPr bwMode="auto">
        <a:xfrm flipH="1" flipV="1">
          <a:off x="4410075" y="400050"/>
          <a:ext cx="619125" cy="2667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228600</xdr:colOff>
      <xdr:row>9</xdr:row>
      <xdr:rowOff>133350</xdr:rowOff>
    </xdr:from>
    <xdr:to>
      <xdr:col>6</xdr:col>
      <xdr:colOff>361950</xdr:colOff>
      <xdr:row>10</xdr:row>
      <xdr:rowOff>133350</xdr:rowOff>
    </xdr:to>
    <xdr:sp macro="" textlink="">
      <xdr:nvSpPr>
        <xdr:cNvPr id="30738" name="AutoShape 18"/>
        <xdr:cNvSpPr>
          <a:spLocks noChangeArrowheads="1"/>
        </xdr:cNvSpPr>
      </xdr:nvSpPr>
      <xdr:spPr bwMode="auto">
        <a:xfrm>
          <a:off x="4076700" y="1628775"/>
          <a:ext cx="133350" cy="171450"/>
        </a:xfrm>
        <a:prstGeom prst="upArrow">
          <a:avLst>
            <a:gd name="adj1" fmla="val 42861"/>
            <a:gd name="adj2" fmla="val 37815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857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161925</xdr:colOff>
      <xdr:row>8</xdr:row>
      <xdr:rowOff>95250</xdr:rowOff>
    </xdr:from>
    <xdr:to>
      <xdr:col>6</xdr:col>
      <xdr:colOff>628650</xdr:colOff>
      <xdr:row>10</xdr:row>
      <xdr:rowOff>19050</xdr:rowOff>
    </xdr:to>
    <xdr:sp macro="" textlink="">
      <xdr:nvSpPr>
        <xdr:cNvPr id="30739" name="Line 19"/>
        <xdr:cNvSpPr>
          <a:spLocks noChangeShapeType="1"/>
        </xdr:cNvSpPr>
      </xdr:nvSpPr>
      <xdr:spPr bwMode="auto">
        <a:xfrm flipV="1">
          <a:off x="4010025" y="1428750"/>
          <a:ext cx="466725" cy="25717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619125</xdr:colOff>
      <xdr:row>6</xdr:row>
      <xdr:rowOff>114300</xdr:rowOff>
    </xdr:from>
    <xdr:to>
      <xdr:col>6</xdr:col>
      <xdr:colOff>619125</xdr:colOff>
      <xdr:row>8</xdr:row>
      <xdr:rowOff>104775</xdr:rowOff>
    </xdr:to>
    <xdr:sp macro="" textlink="">
      <xdr:nvSpPr>
        <xdr:cNvPr id="30740" name="Line 20"/>
        <xdr:cNvSpPr>
          <a:spLocks noChangeShapeType="1"/>
        </xdr:cNvSpPr>
      </xdr:nvSpPr>
      <xdr:spPr bwMode="auto">
        <a:xfrm flipV="1">
          <a:off x="4467225" y="1114425"/>
          <a:ext cx="0" cy="323850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619125</xdr:colOff>
      <xdr:row>6</xdr:row>
      <xdr:rowOff>123825</xdr:rowOff>
    </xdr:from>
    <xdr:to>
      <xdr:col>6</xdr:col>
      <xdr:colOff>1219200</xdr:colOff>
      <xdr:row>8</xdr:row>
      <xdr:rowOff>9525</xdr:rowOff>
    </xdr:to>
    <xdr:sp macro="" textlink="">
      <xdr:nvSpPr>
        <xdr:cNvPr id="30741" name="Line 21"/>
        <xdr:cNvSpPr>
          <a:spLocks noChangeShapeType="1"/>
        </xdr:cNvSpPr>
      </xdr:nvSpPr>
      <xdr:spPr bwMode="auto">
        <a:xfrm>
          <a:off x="4467225" y="1123950"/>
          <a:ext cx="600075" cy="21907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1000125</xdr:colOff>
      <xdr:row>7</xdr:row>
      <xdr:rowOff>123825</xdr:rowOff>
    </xdr:from>
    <xdr:to>
      <xdr:col>6</xdr:col>
      <xdr:colOff>1133475</xdr:colOff>
      <xdr:row>8</xdr:row>
      <xdr:rowOff>123825</xdr:rowOff>
    </xdr:to>
    <xdr:sp macro="" textlink="">
      <xdr:nvSpPr>
        <xdr:cNvPr id="30742" name="AutoShape 22"/>
        <xdr:cNvSpPr>
          <a:spLocks noChangeArrowheads="1"/>
        </xdr:cNvSpPr>
      </xdr:nvSpPr>
      <xdr:spPr bwMode="auto">
        <a:xfrm>
          <a:off x="4848225" y="1295400"/>
          <a:ext cx="133350" cy="161925"/>
        </a:xfrm>
        <a:prstGeom prst="upArrow">
          <a:avLst>
            <a:gd name="adj1" fmla="val 42861"/>
            <a:gd name="adj2" fmla="val 35715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857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1066800</xdr:colOff>
      <xdr:row>6</xdr:row>
      <xdr:rowOff>85725</xdr:rowOff>
    </xdr:from>
    <xdr:to>
      <xdr:col>6</xdr:col>
      <xdr:colOff>1066800</xdr:colOff>
      <xdr:row>7</xdr:row>
      <xdr:rowOff>95250</xdr:rowOff>
    </xdr:to>
    <xdr:sp macro="" textlink="">
      <xdr:nvSpPr>
        <xdr:cNvPr id="30743" name="Line 23"/>
        <xdr:cNvSpPr>
          <a:spLocks noChangeShapeType="1"/>
        </xdr:cNvSpPr>
      </xdr:nvSpPr>
      <xdr:spPr bwMode="auto">
        <a:xfrm flipV="1">
          <a:off x="4914900" y="10858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514350</xdr:colOff>
      <xdr:row>5</xdr:row>
      <xdr:rowOff>95250</xdr:rowOff>
    </xdr:from>
    <xdr:to>
      <xdr:col>6</xdr:col>
      <xdr:colOff>1057275</xdr:colOff>
      <xdr:row>6</xdr:row>
      <xdr:rowOff>142875</xdr:rowOff>
    </xdr:to>
    <xdr:sp macro="" textlink="">
      <xdr:nvSpPr>
        <xdr:cNvPr id="30744" name="Line 24"/>
        <xdr:cNvSpPr>
          <a:spLocks noChangeShapeType="1"/>
        </xdr:cNvSpPr>
      </xdr:nvSpPr>
      <xdr:spPr bwMode="auto">
        <a:xfrm flipH="1" flipV="1">
          <a:off x="4362450" y="923925"/>
          <a:ext cx="542925" cy="2190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285750</xdr:colOff>
      <xdr:row>8</xdr:row>
      <xdr:rowOff>28575</xdr:rowOff>
    </xdr:from>
    <xdr:to>
      <xdr:col>6</xdr:col>
      <xdr:colOff>285750</xdr:colOff>
      <xdr:row>9</xdr:row>
      <xdr:rowOff>95250</xdr:rowOff>
    </xdr:to>
    <xdr:sp macro="" textlink="">
      <xdr:nvSpPr>
        <xdr:cNvPr id="30745" name="Line 25"/>
        <xdr:cNvSpPr>
          <a:spLocks noChangeShapeType="1"/>
        </xdr:cNvSpPr>
      </xdr:nvSpPr>
      <xdr:spPr bwMode="auto">
        <a:xfrm flipV="1">
          <a:off x="4133850" y="1362075"/>
          <a:ext cx="0" cy="228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7</xdr:row>
      <xdr:rowOff>123825</xdr:rowOff>
    </xdr:from>
    <xdr:to>
      <xdr:col>6</xdr:col>
      <xdr:colOff>495300</xdr:colOff>
      <xdr:row>8</xdr:row>
      <xdr:rowOff>66675</xdr:rowOff>
    </xdr:to>
    <xdr:sp macro="" textlink="">
      <xdr:nvSpPr>
        <xdr:cNvPr id="30746" name="Line 26"/>
        <xdr:cNvSpPr>
          <a:spLocks noChangeShapeType="1"/>
        </xdr:cNvSpPr>
      </xdr:nvSpPr>
      <xdr:spPr bwMode="auto">
        <a:xfrm flipV="1">
          <a:off x="4152900" y="1295400"/>
          <a:ext cx="190500" cy="1047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504825</xdr:colOff>
      <xdr:row>5</xdr:row>
      <xdr:rowOff>95250</xdr:rowOff>
    </xdr:from>
    <xdr:to>
      <xdr:col>6</xdr:col>
      <xdr:colOff>504825</xdr:colOff>
      <xdr:row>7</xdr:row>
      <xdr:rowOff>123825</xdr:rowOff>
    </xdr:to>
    <xdr:sp macro="" textlink="">
      <xdr:nvSpPr>
        <xdr:cNvPr id="30747" name="Line 27"/>
        <xdr:cNvSpPr>
          <a:spLocks noChangeShapeType="1"/>
        </xdr:cNvSpPr>
      </xdr:nvSpPr>
      <xdr:spPr bwMode="auto">
        <a:xfrm flipV="1">
          <a:off x="4352925" y="923925"/>
          <a:ext cx="0" cy="3714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190500</xdr:colOff>
      <xdr:row>4</xdr:row>
      <xdr:rowOff>57150</xdr:rowOff>
    </xdr:from>
    <xdr:to>
      <xdr:col>7</xdr:col>
      <xdr:colOff>571500</xdr:colOff>
      <xdr:row>5</xdr:row>
      <xdr:rowOff>152400</xdr:rowOff>
    </xdr:to>
    <xdr:sp macro="" textlink="">
      <xdr:nvSpPr>
        <xdr:cNvPr id="30748" name="Line 28"/>
        <xdr:cNvSpPr>
          <a:spLocks noChangeShapeType="1"/>
        </xdr:cNvSpPr>
      </xdr:nvSpPr>
      <xdr:spPr bwMode="auto">
        <a:xfrm flipV="1">
          <a:off x="5534025" y="723900"/>
          <a:ext cx="381000" cy="25717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371475</xdr:colOff>
      <xdr:row>3</xdr:row>
      <xdr:rowOff>85725</xdr:rowOff>
    </xdr:from>
    <xdr:to>
      <xdr:col>7</xdr:col>
      <xdr:colOff>371475</xdr:colOff>
      <xdr:row>5</xdr:row>
      <xdr:rowOff>47625</xdr:rowOff>
    </xdr:to>
    <xdr:sp macro="" textlink="">
      <xdr:nvSpPr>
        <xdr:cNvPr id="30749" name="Line 29"/>
        <xdr:cNvSpPr>
          <a:spLocks noChangeShapeType="1"/>
        </xdr:cNvSpPr>
      </xdr:nvSpPr>
      <xdr:spPr bwMode="auto">
        <a:xfrm flipV="1">
          <a:off x="5715000" y="590550"/>
          <a:ext cx="0" cy="285750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352425</xdr:colOff>
      <xdr:row>3</xdr:row>
      <xdr:rowOff>76200</xdr:rowOff>
    </xdr:from>
    <xdr:to>
      <xdr:col>7</xdr:col>
      <xdr:colOff>828675</xdr:colOff>
      <xdr:row>4</xdr:row>
      <xdr:rowOff>133350</xdr:rowOff>
    </xdr:to>
    <xdr:sp macro="" textlink="">
      <xdr:nvSpPr>
        <xdr:cNvPr id="30750" name="Line 30"/>
        <xdr:cNvSpPr>
          <a:spLocks noChangeShapeType="1"/>
        </xdr:cNvSpPr>
      </xdr:nvSpPr>
      <xdr:spPr bwMode="auto">
        <a:xfrm>
          <a:off x="5695950" y="581025"/>
          <a:ext cx="476250" cy="21907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819150</xdr:colOff>
      <xdr:row>4</xdr:row>
      <xdr:rowOff>114300</xdr:rowOff>
    </xdr:from>
    <xdr:to>
      <xdr:col>7</xdr:col>
      <xdr:colOff>819150</xdr:colOff>
      <xdr:row>7</xdr:row>
      <xdr:rowOff>28575</xdr:rowOff>
    </xdr:to>
    <xdr:sp macro="" textlink="">
      <xdr:nvSpPr>
        <xdr:cNvPr id="30751" name="Line 31"/>
        <xdr:cNvSpPr>
          <a:spLocks noChangeShapeType="1"/>
        </xdr:cNvSpPr>
      </xdr:nvSpPr>
      <xdr:spPr bwMode="auto">
        <a:xfrm>
          <a:off x="6162675" y="781050"/>
          <a:ext cx="0" cy="419100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819150</xdr:colOff>
      <xdr:row>7</xdr:row>
      <xdr:rowOff>9525</xdr:rowOff>
    </xdr:from>
    <xdr:to>
      <xdr:col>7</xdr:col>
      <xdr:colOff>1266825</xdr:colOff>
      <xdr:row>8</xdr:row>
      <xdr:rowOff>47625</xdr:rowOff>
    </xdr:to>
    <xdr:sp macro="" textlink="">
      <xdr:nvSpPr>
        <xdr:cNvPr id="30752" name="Line 32"/>
        <xdr:cNvSpPr>
          <a:spLocks noChangeShapeType="1"/>
        </xdr:cNvSpPr>
      </xdr:nvSpPr>
      <xdr:spPr bwMode="auto">
        <a:xfrm>
          <a:off x="6162675" y="1181100"/>
          <a:ext cx="447675" cy="20002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114300</xdr:colOff>
      <xdr:row>4</xdr:row>
      <xdr:rowOff>76200</xdr:rowOff>
    </xdr:from>
    <xdr:to>
      <xdr:col>7</xdr:col>
      <xdr:colOff>361950</xdr:colOff>
      <xdr:row>5</xdr:row>
      <xdr:rowOff>28575</xdr:rowOff>
    </xdr:to>
    <xdr:sp macro="" textlink="">
      <xdr:nvSpPr>
        <xdr:cNvPr id="30753" name="Line 33"/>
        <xdr:cNvSpPr>
          <a:spLocks noChangeShapeType="1"/>
        </xdr:cNvSpPr>
      </xdr:nvSpPr>
      <xdr:spPr bwMode="auto">
        <a:xfrm>
          <a:off x="5457825" y="742950"/>
          <a:ext cx="247650" cy="11430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171450</xdr:colOff>
      <xdr:row>2</xdr:row>
      <xdr:rowOff>76200</xdr:rowOff>
    </xdr:from>
    <xdr:to>
      <xdr:col>7</xdr:col>
      <xdr:colOff>171450</xdr:colOff>
      <xdr:row>4</xdr:row>
      <xdr:rowOff>95250</xdr:rowOff>
    </xdr:to>
    <xdr:sp macro="" textlink="">
      <xdr:nvSpPr>
        <xdr:cNvPr id="30754" name="Line 34"/>
        <xdr:cNvSpPr>
          <a:spLocks noChangeShapeType="1"/>
        </xdr:cNvSpPr>
      </xdr:nvSpPr>
      <xdr:spPr bwMode="auto">
        <a:xfrm flipV="1">
          <a:off x="5514975" y="409575"/>
          <a:ext cx="0" cy="3524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171450</xdr:colOff>
      <xdr:row>2</xdr:row>
      <xdr:rowOff>66675</xdr:rowOff>
    </xdr:from>
    <xdr:to>
      <xdr:col>7</xdr:col>
      <xdr:colOff>933450</xdr:colOff>
      <xdr:row>4</xdr:row>
      <xdr:rowOff>66675</xdr:rowOff>
    </xdr:to>
    <xdr:sp macro="" textlink="">
      <xdr:nvSpPr>
        <xdr:cNvPr id="30755" name="Line 35"/>
        <xdr:cNvSpPr>
          <a:spLocks noChangeShapeType="1"/>
        </xdr:cNvSpPr>
      </xdr:nvSpPr>
      <xdr:spPr bwMode="auto">
        <a:xfrm>
          <a:off x="5514975" y="400050"/>
          <a:ext cx="762000" cy="33337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1085850</xdr:colOff>
      <xdr:row>8</xdr:row>
      <xdr:rowOff>0</xdr:rowOff>
    </xdr:from>
    <xdr:to>
      <xdr:col>7</xdr:col>
      <xdr:colOff>1219200</xdr:colOff>
      <xdr:row>9</xdr:row>
      <xdr:rowOff>0</xdr:rowOff>
    </xdr:to>
    <xdr:sp macro="" textlink="">
      <xdr:nvSpPr>
        <xdr:cNvPr id="30756" name="AutoShape 36"/>
        <xdr:cNvSpPr>
          <a:spLocks noChangeArrowheads="1"/>
        </xdr:cNvSpPr>
      </xdr:nvSpPr>
      <xdr:spPr bwMode="auto">
        <a:xfrm>
          <a:off x="6429375" y="1333500"/>
          <a:ext cx="133350" cy="161925"/>
        </a:xfrm>
        <a:prstGeom prst="upArrow">
          <a:avLst>
            <a:gd name="adj1" fmla="val 42861"/>
            <a:gd name="adj2" fmla="val 35715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857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1152525</xdr:colOff>
      <xdr:row>6</xdr:row>
      <xdr:rowOff>85725</xdr:rowOff>
    </xdr:from>
    <xdr:to>
      <xdr:col>7</xdr:col>
      <xdr:colOff>1152525</xdr:colOff>
      <xdr:row>7</xdr:row>
      <xdr:rowOff>142875</xdr:rowOff>
    </xdr:to>
    <xdr:sp macro="" textlink="">
      <xdr:nvSpPr>
        <xdr:cNvPr id="30757" name="Line 37"/>
        <xdr:cNvSpPr>
          <a:spLocks noChangeShapeType="1"/>
        </xdr:cNvSpPr>
      </xdr:nvSpPr>
      <xdr:spPr bwMode="auto">
        <a:xfrm flipV="1">
          <a:off x="6496050" y="1085850"/>
          <a:ext cx="0" cy="228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942975</xdr:colOff>
      <xdr:row>6</xdr:row>
      <xdr:rowOff>66675</xdr:rowOff>
    </xdr:from>
    <xdr:to>
      <xdr:col>7</xdr:col>
      <xdr:colOff>1152525</xdr:colOff>
      <xdr:row>7</xdr:row>
      <xdr:rowOff>0</xdr:rowOff>
    </xdr:to>
    <xdr:sp macro="" textlink="">
      <xdr:nvSpPr>
        <xdr:cNvPr id="30758" name="Line 38"/>
        <xdr:cNvSpPr>
          <a:spLocks noChangeShapeType="1"/>
        </xdr:cNvSpPr>
      </xdr:nvSpPr>
      <xdr:spPr bwMode="auto">
        <a:xfrm flipH="1" flipV="1">
          <a:off x="6286500" y="1066800"/>
          <a:ext cx="209550" cy="1047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942975</xdr:colOff>
      <xdr:row>4</xdr:row>
      <xdr:rowOff>66675</xdr:rowOff>
    </xdr:from>
    <xdr:to>
      <xdr:col>7</xdr:col>
      <xdr:colOff>942975</xdr:colOff>
      <xdr:row>6</xdr:row>
      <xdr:rowOff>66675</xdr:rowOff>
    </xdr:to>
    <xdr:sp macro="" textlink="">
      <xdr:nvSpPr>
        <xdr:cNvPr id="30759" name="Line 39"/>
        <xdr:cNvSpPr>
          <a:spLocks noChangeShapeType="1"/>
        </xdr:cNvSpPr>
      </xdr:nvSpPr>
      <xdr:spPr bwMode="auto">
        <a:xfrm flipV="1">
          <a:off x="6286500" y="733425"/>
          <a:ext cx="0" cy="3333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</xdr:col>
      <xdr:colOff>219075</xdr:colOff>
      <xdr:row>0</xdr:row>
      <xdr:rowOff>85725</xdr:rowOff>
    </xdr:from>
    <xdr:ext cx="1790700" cy="200025"/>
    <xdr:sp macro="" textlink="">
      <xdr:nvSpPr>
        <xdr:cNvPr id="30760" name="Text Box 40"/>
        <xdr:cNvSpPr txBox="1">
          <a:spLocks noChangeArrowheads="1"/>
        </xdr:cNvSpPr>
      </xdr:nvSpPr>
      <xdr:spPr bwMode="auto">
        <a:xfrm>
          <a:off x="600075" y="85725"/>
          <a:ext cx="17907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ALLOWABLE PIPING SPANS</a:t>
          </a:r>
        </a:p>
      </xdr:txBody>
    </xdr:sp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276225</xdr:colOff>
      <xdr:row>2</xdr:row>
      <xdr:rowOff>76200</xdr:rowOff>
    </xdr:from>
    <xdr:to>
      <xdr:col>4</xdr:col>
      <xdr:colOff>161925</xdr:colOff>
      <xdr:row>8</xdr:row>
      <xdr:rowOff>19050</xdr:rowOff>
    </xdr:to>
    <xdr:sp macro="" textlink="">
      <xdr:nvSpPr>
        <xdr:cNvPr id="17409" name="AutoShape 1"/>
        <xdr:cNvSpPr>
          <a:spLocks noChangeArrowheads="1"/>
        </xdr:cNvSpPr>
      </xdr:nvSpPr>
      <xdr:spPr bwMode="auto">
        <a:xfrm rot="-2676197">
          <a:off x="762000" y="400050"/>
          <a:ext cx="1057275" cy="914400"/>
        </a:xfrm>
        <a:custGeom>
          <a:avLst/>
          <a:gdLst>
            <a:gd name="G0" fmla="+- 4506 0 0"/>
            <a:gd name="G1" fmla="+- -8904508 0 0"/>
            <a:gd name="G2" fmla="+- 0 0 -8904508"/>
            <a:gd name="T0" fmla="*/ 0 256 1"/>
            <a:gd name="T1" fmla="*/ 180 256 1"/>
            <a:gd name="G3" fmla="+- -8904508 T0 T1"/>
            <a:gd name="T2" fmla="*/ 0 256 1"/>
            <a:gd name="T3" fmla="*/ 90 256 1"/>
            <a:gd name="G4" fmla="+- -8904508 T2 T3"/>
            <a:gd name="G5" fmla="*/ G4 2 1"/>
            <a:gd name="T4" fmla="*/ 90 256 1"/>
            <a:gd name="T5" fmla="*/ 0 256 1"/>
            <a:gd name="G6" fmla="+- -8904508 T4 T5"/>
            <a:gd name="G7" fmla="*/ G6 2 1"/>
            <a:gd name="G8" fmla="abs -8904508"/>
            <a:gd name="T6" fmla="*/ 0 256 1"/>
            <a:gd name="T7" fmla="*/ 90 256 1"/>
            <a:gd name="G9" fmla="+- G8 T6 T7"/>
            <a:gd name="G10" fmla="?: G9 G7 G5"/>
            <a:gd name="T8" fmla="*/ 0 256 1"/>
            <a:gd name="T9" fmla="*/ 360 256 1"/>
            <a:gd name="G11" fmla="+- G10 T8 T9"/>
            <a:gd name="G12" fmla="?: G10 G11 G10"/>
            <a:gd name="T10" fmla="*/ 0 256 1"/>
            <a:gd name="T11" fmla="*/ 360 256 1"/>
            <a:gd name="G13" fmla="+- G12 T10 T11"/>
            <a:gd name="G14" fmla="?: G12 G13 G12"/>
            <a:gd name="G15" fmla="+- 0 0 G14"/>
            <a:gd name="G16" fmla="+- 10800 0 0"/>
            <a:gd name="G17" fmla="+- 10800 0 4506"/>
            <a:gd name="G18" fmla="*/ 4506 1 2"/>
            <a:gd name="G19" fmla="+- G18 5400 0"/>
            <a:gd name="G20" fmla="cos G19 -8904508"/>
            <a:gd name="G21" fmla="sin G19 -8904508"/>
            <a:gd name="G22" fmla="+- G20 10800 0"/>
            <a:gd name="G23" fmla="+- G21 10800 0"/>
            <a:gd name="G24" fmla="+- 10800 0 G20"/>
            <a:gd name="G25" fmla="+- 4506 10800 0"/>
            <a:gd name="G26" fmla="?: G9 G17 G25"/>
            <a:gd name="G27" fmla="?: G9 0 21600"/>
            <a:gd name="G28" fmla="cos 10800 -8904508"/>
            <a:gd name="G29" fmla="sin 10800 -8904508"/>
            <a:gd name="G30" fmla="sin 4506 -8904508"/>
            <a:gd name="G31" fmla="+- G28 10800 0"/>
            <a:gd name="G32" fmla="+- G29 10800 0"/>
            <a:gd name="G33" fmla="+- G30 10800 0"/>
            <a:gd name="G34" fmla="?: G4 0 G31"/>
            <a:gd name="G35" fmla="?: -8904508 G34 0"/>
            <a:gd name="G36" fmla="?: G6 G35 G31"/>
            <a:gd name="G37" fmla="+- 21600 0 G36"/>
            <a:gd name="G38" fmla="?: G4 0 G33"/>
            <a:gd name="G39" fmla="?: -8904508 G38 G32"/>
            <a:gd name="G40" fmla="?: G6 G39 0"/>
            <a:gd name="G41" fmla="?: G4 G32 21600"/>
            <a:gd name="G42" fmla="?: G6 G41 G33"/>
            <a:gd name="T12" fmla="*/ 10800 w 21600"/>
            <a:gd name="T13" fmla="*/ 0 h 21600"/>
            <a:gd name="T14" fmla="*/ 5306 w 21600"/>
            <a:gd name="T15" fmla="*/ 5471 h 21600"/>
            <a:gd name="T16" fmla="*/ 10800 w 21600"/>
            <a:gd name="T17" fmla="*/ 6294 h 21600"/>
            <a:gd name="T18" fmla="*/ 16294 w 21600"/>
            <a:gd name="T19" fmla="*/ 5471 h 21600"/>
            <a:gd name="T20" fmla="*/ G36 w 21600"/>
            <a:gd name="T21" fmla="*/ G40 h 21600"/>
            <a:gd name="T22" fmla="*/ G37 w 21600"/>
            <a:gd name="T23" fmla="*/ G42 h 21600"/>
          </a:gdLst>
          <a:ahLst/>
          <a:cxnLst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</a:cxnLst>
          <a:rect l="T20" t="T21" r="T22" b="T23"/>
          <a:pathLst>
            <a:path w="21600" h="21600">
              <a:moveTo>
                <a:pt x="7565" y="7662"/>
              </a:moveTo>
              <a:cubicBezTo>
                <a:pt x="8414" y="6787"/>
                <a:pt x="9581" y="6293"/>
                <a:pt x="10800" y="6294"/>
              </a:cubicBezTo>
              <a:cubicBezTo>
                <a:pt x="12018" y="6294"/>
                <a:pt x="13185" y="6787"/>
                <a:pt x="14034" y="7662"/>
              </a:cubicBezTo>
              <a:lnTo>
                <a:pt x="18552" y="3280"/>
              </a:lnTo>
              <a:cubicBezTo>
                <a:pt x="16518" y="1183"/>
                <a:pt x="13721" y="-1"/>
                <a:pt x="10799" y="0"/>
              </a:cubicBezTo>
              <a:cubicBezTo>
                <a:pt x="7878" y="0"/>
                <a:pt x="5081" y="1183"/>
                <a:pt x="3047" y="3280"/>
              </a:cubicBezTo>
              <a:close/>
            </a:path>
          </a:pathLst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19050</xdr:colOff>
      <xdr:row>3</xdr:row>
      <xdr:rowOff>57150</xdr:rowOff>
    </xdr:from>
    <xdr:to>
      <xdr:col>4</xdr:col>
      <xdr:colOff>123825</xdr:colOff>
      <xdr:row>3</xdr:row>
      <xdr:rowOff>57150</xdr:rowOff>
    </xdr:to>
    <xdr:sp macro="" textlink="">
      <xdr:nvSpPr>
        <xdr:cNvPr id="17410" name="Line 2"/>
        <xdr:cNvSpPr>
          <a:spLocks noChangeShapeType="1"/>
        </xdr:cNvSpPr>
      </xdr:nvSpPr>
      <xdr:spPr bwMode="auto">
        <a:xfrm>
          <a:off x="1333500" y="542925"/>
          <a:ext cx="4476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209550</xdr:colOff>
      <xdr:row>5</xdr:row>
      <xdr:rowOff>57150</xdr:rowOff>
    </xdr:from>
    <xdr:to>
      <xdr:col>4</xdr:col>
      <xdr:colOff>133350</xdr:colOff>
      <xdr:row>5</xdr:row>
      <xdr:rowOff>57150</xdr:rowOff>
    </xdr:to>
    <xdr:sp macro="" textlink="">
      <xdr:nvSpPr>
        <xdr:cNvPr id="17411" name="Line 3"/>
        <xdr:cNvSpPr>
          <a:spLocks noChangeShapeType="1"/>
        </xdr:cNvSpPr>
      </xdr:nvSpPr>
      <xdr:spPr bwMode="auto">
        <a:xfrm flipV="1">
          <a:off x="1143000" y="866775"/>
          <a:ext cx="6477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85725</xdr:rowOff>
    </xdr:from>
    <xdr:to>
      <xdr:col>3</xdr:col>
      <xdr:colOff>0</xdr:colOff>
      <xdr:row>7</xdr:row>
      <xdr:rowOff>38100</xdr:rowOff>
    </xdr:to>
    <xdr:sp macro="" textlink="">
      <xdr:nvSpPr>
        <xdr:cNvPr id="17412" name="Line 4"/>
        <xdr:cNvSpPr>
          <a:spLocks noChangeShapeType="1"/>
        </xdr:cNvSpPr>
      </xdr:nvSpPr>
      <xdr:spPr bwMode="auto">
        <a:xfrm>
          <a:off x="1314450" y="733425"/>
          <a:ext cx="0" cy="4381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38100</xdr:colOff>
      <xdr:row>5</xdr:row>
      <xdr:rowOff>66675</xdr:rowOff>
    </xdr:from>
    <xdr:to>
      <xdr:col>2</xdr:col>
      <xdr:colOff>38100</xdr:colOff>
      <xdr:row>7</xdr:row>
      <xdr:rowOff>28575</xdr:rowOff>
    </xdr:to>
    <xdr:sp macro="" textlink="">
      <xdr:nvSpPr>
        <xdr:cNvPr id="17413" name="Line 5"/>
        <xdr:cNvSpPr>
          <a:spLocks noChangeShapeType="1"/>
        </xdr:cNvSpPr>
      </xdr:nvSpPr>
      <xdr:spPr bwMode="auto">
        <a:xfrm>
          <a:off x="971550" y="876300"/>
          <a:ext cx="0" cy="2857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161925</xdr:colOff>
      <xdr:row>6</xdr:row>
      <xdr:rowOff>142875</xdr:rowOff>
    </xdr:from>
    <xdr:to>
      <xdr:col>2</xdr:col>
      <xdr:colOff>28575</xdr:colOff>
      <xdr:row>6</xdr:row>
      <xdr:rowOff>142875</xdr:rowOff>
    </xdr:to>
    <xdr:sp macro="" textlink="">
      <xdr:nvSpPr>
        <xdr:cNvPr id="17414" name="Line 6"/>
        <xdr:cNvSpPr>
          <a:spLocks noChangeShapeType="1"/>
        </xdr:cNvSpPr>
      </xdr:nvSpPr>
      <xdr:spPr bwMode="auto">
        <a:xfrm flipH="1">
          <a:off x="647700" y="1114425"/>
          <a:ext cx="31432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6</xdr:row>
      <xdr:rowOff>152400</xdr:rowOff>
    </xdr:from>
    <xdr:to>
      <xdr:col>3</xdr:col>
      <xdr:colOff>171450</xdr:colOff>
      <xdr:row>6</xdr:row>
      <xdr:rowOff>152400</xdr:rowOff>
    </xdr:to>
    <xdr:sp macro="" textlink="">
      <xdr:nvSpPr>
        <xdr:cNvPr id="17415" name="Line 7"/>
        <xdr:cNvSpPr>
          <a:spLocks noChangeShapeType="1"/>
        </xdr:cNvSpPr>
      </xdr:nvSpPr>
      <xdr:spPr bwMode="auto">
        <a:xfrm>
          <a:off x="1314450" y="1123950"/>
          <a:ext cx="1714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95250</xdr:colOff>
      <xdr:row>2</xdr:row>
      <xdr:rowOff>9525</xdr:rowOff>
    </xdr:from>
    <xdr:to>
      <xdr:col>4</xdr:col>
      <xdr:colOff>95250</xdr:colOff>
      <xdr:row>3</xdr:row>
      <xdr:rowOff>28575</xdr:rowOff>
    </xdr:to>
    <xdr:sp macro="" textlink="">
      <xdr:nvSpPr>
        <xdr:cNvPr id="17416" name="Line 8"/>
        <xdr:cNvSpPr>
          <a:spLocks noChangeShapeType="1"/>
        </xdr:cNvSpPr>
      </xdr:nvSpPr>
      <xdr:spPr bwMode="auto">
        <a:xfrm flipV="1">
          <a:off x="1752600" y="333375"/>
          <a:ext cx="0" cy="18097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85725</xdr:colOff>
      <xdr:row>5</xdr:row>
      <xdr:rowOff>57150</xdr:rowOff>
    </xdr:from>
    <xdr:to>
      <xdr:col>4</xdr:col>
      <xdr:colOff>85725</xdr:colOff>
      <xdr:row>6</xdr:row>
      <xdr:rowOff>104775</xdr:rowOff>
    </xdr:to>
    <xdr:sp macro="" textlink="">
      <xdr:nvSpPr>
        <xdr:cNvPr id="17417" name="Line 9"/>
        <xdr:cNvSpPr>
          <a:spLocks noChangeShapeType="1"/>
        </xdr:cNvSpPr>
      </xdr:nvSpPr>
      <xdr:spPr bwMode="auto">
        <a:xfrm>
          <a:off x="1743075" y="866775"/>
          <a:ext cx="0" cy="2095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4</xdr:col>
      <xdr:colOff>9525</xdr:colOff>
      <xdr:row>3</xdr:row>
      <xdr:rowOff>104775</xdr:rowOff>
    </xdr:from>
    <xdr:to>
      <xdr:col>4</xdr:col>
      <xdr:colOff>209550</xdr:colOff>
      <xdr:row>5</xdr:row>
      <xdr:rowOff>9525</xdr:rowOff>
    </xdr:to>
    <xdr:sp macro="" textlink="">
      <xdr:nvSpPr>
        <xdr:cNvPr id="17418" name="Text Box 10"/>
        <xdr:cNvSpPr txBox="1">
          <a:spLocks noChangeArrowheads="1"/>
        </xdr:cNvSpPr>
      </xdr:nvSpPr>
      <xdr:spPr bwMode="auto">
        <a:xfrm>
          <a:off x="1666875" y="590550"/>
          <a:ext cx="2000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A</a:t>
          </a:r>
        </a:p>
        <a:p>
          <a:pPr algn="l" rtl="0">
            <a:defRPr sz="1000"/>
          </a:pPr>
          <a:endParaRPr lang="en-US" sz="10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2</xdr:col>
      <xdr:colOff>95250</xdr:colOff>
      <xdr:row>6</xdr:row>
      <xdr:rowOff>47625</xdr:rowOff>
    </xdr:from>
    <xdr:to>
      <xdr:col>2</xdr:col>
      <xdr:colOff>295275</xdr:colOff>
      <xdr:row>7</xdr:row>
      <xdr:rowOff>114300</xdr:rowOff>
    </xdr:to>
    <xdr:sp macro="" textlink="">
      <xdr:nvSpPr>
        <xdr:cNvPr id="17419" name="Text Box 11"/>
        <xdr:cNvSpPr txBox="1">
          <a:spLocks noChangeArrowheads="1"/>
        </xdr:cNvSpPr>
      </xdr:nvSpPr>
      <xdr:spPr bwMode="auto">
        <a:xfrm>
          <a:off x="1028700" y="1019175"/>
          <a:ext cx="2000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A</a:t>
          </a:r>
        </a:p>
        <a:p>
          <a:pPr algn="l" rtl="0">
            <a:defRPr sz="1000"/>
          </a:pPr>
          <a:endParaRPr lang="en-US" sz="10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</xdr:col>
      <xdr:colOff>142875</xdr:colOff>
      <xdr:row>7</xdr:row>
      <xdr:rowOff>85725</xdr:rowOff>
    </xdr:from>
    <xdr:to>
      <xdr:col>4</xdr:col>
      <xdr:colOff>38100</xdr:colOff>
      <xdr:row>9</xdr:row>
      <xdr:rowOff>123825</xdr:rowOff>
    </xdr:to>
    <xdr:sp macro="" textlink="">
      <xdr:nvSpPr>
        <xdr:cNvPr id="17420" name="Text Box 12"/>
        <xdr:cNvSpPr txBox="1">
          <a:spLocks noChangeArrowheads="1"/>
        </xdr:cNvSpPr>
      </xdr:nvSpPr>
      <xdr:spPr bwMode="auto">
        <a:xfrm>
          <a:off x="628650" y="1219200"/>
          <a:ext cx="10668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FF0000"/>
              </a:solidFill>
              <a:latin typeface="Arial"/>
              <a:cs typeface="Arial"/>
            </a:rPr>
            <a:t>90 L.R. ELL.</a:t>
          </a:r>
        </a:p>
        <a:p>
          <a:pPr algn="l" rtl="0">
            <a:defRPr sz="1000"/>
          </a:pPr>
          <a:r>
            <a:rPr lang="en-US" sz="1000" b="1" i="0" u="none" strike="noStrike" baseline="0">
              <a:solidFill>
                <a:srgbClr val="FF0000"/>
              </a:solidFill>
              <a:latin typeface="Arial"/>
              <a:cs typeface="Arial"/>
            </a:rPr>
            <a:t>90 Red. L.R. ELL</a:t>
          </a:r>
        </a:p>
      </xdr:txBody>
    </xdr:sp>
    <xdr:clientData/>
  </xdr:twoCellAnchor>
  <xdr:twoCellAnchor>
    <xdr:from>
      <xdr:col>7</xdr:col>
      <xdr:colOff>142875</xdr:colOff>
      <xdr:row>2</xdr:row>
      <xdr:rowOff>114300</xdr:rowOff>
    </xdr:from>
    <xdr:to>
      <xdr:col>10</xdr:col>
      <xdr:colOff>95250</xdr:colOff>
      <xdr:row>8</xdr:row>
      <xdr:rowOff>57150</xdr:rowOff>
    </xdr:to>
    <xdr:sp macro="" textlink="">
      <xdr:nvSpPr>
        <xdr:cNvPr id="17421" name="AutoShape 13"/>
        <xdr:cNvSpPr>
          <a:spLocks noChangeArrowheads="1"/>
        </xdr:cNvSpPr>
      </xdr:nvSpPr>
      <xdr:spPr bwMode="auto">
        <a:xfrm rot="-3297740">
          <a:off x="2876550" y="400050"/>
          <a:ext cx="914400" cy="990600"/>
        </a:xfrm>
        <a:custGeom>
          <a:avLst/>
          <a:gdLst>
            <a:gd name="G0" fmla="+- 3663 0 0"/>
            <a:gd name="G1" fmla="+- -8177791 0 0"/>
            <a:gd name="G2" fmla="+- 0 0 -8177791"/>
            <a:gd name="T0" fmla="*/ 0 256 1"/>
            <a:gd name="T1" fmla="*/ 180 256 1"/>
            <a:gd name="G3" fmla="+- -8177791 T0 T1"/>
            <a:gd name="T2" fmla="*/ 0 256 1"/>
            <a:gd name="T3" fmla="*/ 90 256 1"/>
            <a:gd name="G4" fmla="+- -8177791 T2 T3"/>
            <a:gd name="G5" fmla="*/ G4 2 1"/>
            <a:gd name="T4" fmla="*/ 90 256 1"/>
            <a:gd name="T5" fmla="*/ 0 256 1"/>
            <a:gd name="G6" fmla="+- -8177791 T4 T5"/>
            <a:gd name="G7" fmla="*/ G6 2 1"/>
            <a:gd name="G8" fmla="abs -8177791"/>
            <a:gd name="T6" fmla="*/ 0 256 1"/>
            <a:gd name="T7" fmla="*/ 90 256 1"/>
            <a:gd name="G9" fmla="+- G8 T6 T7"/>
            <a:gd name="G10" fmla="?: G9 G7 G5"/>
            <a:gd name="T8" fmla="*/ 0 256 1"/>
            <a:gd name="T9" fmla="*/ 360 256 1"/>
            <a:gd name="G11" fmla="+- G10 T8 T9"/>
            <a:gd name="G12" fmla="?: G10 G11 G10"/>
            <a:gd name="T10" fmla="*/ 0 256 1"/>
            <a:gd name="T11" fmla="*/ 360 256 1"/>
            <a:gd name="G13" fmla="+- G12 T10 T11"/>
            <a:gd name="G14" fmla="?: G12 G13 G12"/>
            <a:gd name="G15" fmla="+- 0 0 G14"/>
            <a:gd name="G16" fmla="+- 10800 0 0"/>
            <a:gd name="G17" fmla="+- 10800 0 3663"/>
            <a:gd name="G18" fmla="*/ 3663 1 2"/>
            <a:gd name="G19" fmla="+- G18 5400 0"/>
            <a:gd name="G20" fmla="cos G19 -8177791"/>
            <a:gd name="G21" fmla="sin G19 -8177791"/>
            <a:gd name="G22" fmla="+- G20 10800 0"/>
            <a:gd name="G23" fmla="+- G21 10800 0"/>
            <a:gd name="G24" fmla="+- 10800 0 G20"/>
            <a:gd name="G25" fmla="+- 3663 10800 0"/>
            <a:gd name="G26" fmla="?: G9 G17 G25"/>
            <a:gd name="G27" fmla="?: G9 0 21600"/>
            <a:gd name="G28" fmla="cos 10800 -8177791"/>
            <a:gd name="G29" fmla="sin 10800 -8177791"/>
            <a:gd name="G30" fmla="sin 3663 -8177791"/>
            <a:gd name="G31" fmla="+- G28 10800 0"/>
            <a:gd name="G32" fmla="+- G29 10800 0"/>
            <a:gd name="G33" fmla="+- G30 10800 0"/>
            <a:gd name="G34" fmla="?: G4 0 G31"/>
            <a:gd name="G35" fmla="?: -8177791 G34 0"/>
            <a:gd name="G36" fmla="?: G6 G35 G31"/>
            <a:gd name="G37" fmla="+- 21600 0 G36"/>
            <a:gd name="G38" fmla="?: G4 0 G33"/>
            <a:gd name="G39" fmla="?: -8177791 G38 G32"/>
            <a:gd name="G40" fmla="?: G6 G39 0"/>
            <a:gd name="G41" fmla="?: G4 G32 21600"/>
            <a:gd name="G42" fmla="?: G6 G41 G33"/>
            <a:gd name="T12" fmla="*/ 10800 w 21600"/>
            <a:gd name="T13" fmla="*/ 0 h 21600"/>
            <a:gd name="T14" fmla="*/ 6674 w 21600"/>
            <a:gd name="T15" fmla="*/ 4860 h 21600"/>
            <a:gd name="T16" fmla="*/ 10800 w 21600"/>
            <a:gd name="T17" fmla="*/ 7137 h 21600"/>
            <a:gd name="T18" fmla="*/ 14926 w 21600"/>
            <a:gd name="T19" fmla="*/ 4860 h 21600"/>
            <a:gd name="T20" fmla="*/ G36 w 21600"/>
            <a:gd name="T21" fmla="*/ G40 h 21600"/>
            <a:gd name="T22" fmla="*/ G37 w 21600"/>
            <a:gd name="T23" fmla="*/ G42 h 21600"/>
          </a:gdLst>
          <a:ahLst/>
          <a:cxnLst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</a:cxnLst>
          <a:rect l="T20" t="T21" r="T22" b="T23"/>
          <a:pathLst>
            <a:path w="21600" h="21600">
              <a:moveTo>
                <a:pt x="8710" y="7791"/>
              </a:moveTo>
              <a:cubicBezTo>
                <a:pt x="9323" y="7365"/>
                <a:pt x="10053" y="7136"/>
                <a:pt x="10800" y="7137"/>
              </a:cubicBezTo>
              <a:cubicBezTo>
                <a:pt x="11546" y="7137"/>
                <a:pt x="12276" y="7365"/>
                <a:pt x="12889" y="7791"/>
              </a:cubicBezTo>
              <a:lnTo>
                <a:pt x="16961" y="1929"/>
              </a:lnTo>
              <a:cubicBezTo>
                <a:pt x="15152" y="673"/>
                <a:pt x="13002" y="-1"/>
                <a:pt x="10799" y="0"/>
              </a:cubicBezTo>
              <a:cubicBezTo>
                <a:pt x="8597" y="0"/>
                <a:pt x="6447" y="673"/>
                <a:pt x="4638" y="1929"/>
              </a:cubicBezTo>
              <a:close/>
            </a:path>
          </a:pathLst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304800</xdr:colOff>
      <xdr:row>5</xdr:row>
      <xdr:rowOff>76200</xdr:rowOff>
    </xdr:from>
    <xdr:to>
      <xdr:col>7</xdr:col>
      <xdr:colOff>76200</xdr:colOff>
      <xdr:row>5</xdr:row>
      <xdr:rowOff>76200</xdr:rowOff>
    </xdr:to>
    <xdr:sp macro="" textlink="">
      <xdr:nvSpPr>
        <xdr:cNvPr id="17422" name="Line 14"/>
        <xdr:cNvSpPr>
          <a:spLocks noChangeShapeType="1"/>
        </xdr:cNvSpPr>
      </xdr:nvSpPr>
      <xdr:spPr bwMode="auto">
        <a:xfrm flipH="1">
          <a:off x="2324100" y="885825"/>
          <a:ext cx="4476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304800</xdr:colOff>
      <xdr:row>4</xdr:row>
      <xdr:rowOff>76200</xdr:rowOff>
    </xdr:from>
    <xdr:to>
      <xdr:col>8</xdr:col>
      <xdr:colOff>9525</xdr:colOff>
      <xdr:row>4</xdr:row>
      <xdr:rowOff>76200</xdr:rowOff>
    </xdr:to>
    <xdr:sp macro="" textlink="">
      <xdr:nvSpPr>
        <xdr:cNvPr id="17423" name="Line 15"/>
        <xdr:cNvSpPr>
          <a:spLocks noChangeShapeType="1"/>
        </xdr:cNvSpPr>
      </xdr:nvSpPr>
      <xdr:spPr bwMode="auto">
        <a:xfrm flipH="1">
          <a:off x="2324100" y="723900"/>
          <a:ext cx="7239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200025</xdr:colOff>
      <xdr:row>0</xdr:row>
      <xdr:rowOff>123825</xdr:rowOff>
    </xdr:from>
    <xdr:to>
      <xdr:col>8</xdr:col>
      <xdr:colOff>104775</xdr:colOff>
      <xdr:row>2</xdr:row>
      <xdr:rowOff>95250</xdr:rowOff>
    </xdr:to>
    <xdr:sp macro="" textlink="">
      <xdr:nvSpPr>
        <xdr:cNvPr id="17424" name="Line 16"/>
        <xdr:cNvSpPr>
          <a:spLocks noChangeShapeType="1"/>
        </xdr:cNvSpPr>
      </xdr:nvSpPr>
      <xdr:spPr bwMode="auto">
        <a:xfrm flipH="1" flipV="1">
          <a:off x="2895600" y="123825"/>
          <a:ext cx="247650" cy="29527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276225</xdr:colOff>
      <xdr:row>1</xdr:row>
      <xdr:rowOff>123825</xdr:rowOff>
    </xdr:from>
    <xdr:to>
      <xdr:col>8</xdr:col>
      <xdr:colOff>0</xdr:colOff>
      <xdr:row>4</xdr:row>
      <xdr:rowOff>76200</xdr:rowOff>
    </xdr:to>
    <xdr:sp macro="" textlink="">
      <xdr:nvSpPr>
        <xdr:cNvPr id="17425" name="Line 17"/>
        <xdr:cNvSpPr>
          <a:spLocks noChangeShapeType="1"/>
        </xdr:cNvSpPr>
      </xdr:nvSpPr>
      <xdr:spPr bwMode="auto">
        <a:xfrm flipH="1" flipV="1">
          <a:off x="2647950" y="285750"/>
          <a:ext cx="390525" cy="4381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7</xdr:col>
      <xdr:colOff>28575</xdr:colOff>
      <xdr:row>1</xdr:row>
      <xdr:rowOff>28575</xdr:rowOff>
    </xdr:from>
    <xdr:ext cx="171450" cy="206375"/>
    <xdr:sp macro="" textlink="">
      <xdr:nvSpPr>
        <xdr:cNvPr id="17426" name="Text Box 18"/>
        <xdr:cNvSpPr txBox="1">
          <a:spLocks noChangeArrowheads="1"/>
        </xdr:cNvSpPr>
      </xdr:nvSpPr>
      <xdr:spPr bwMode="auto">
        <a:xfrm>
          <a:off x="2724150" y="190500"/>
          <a:ext cx="1714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B</a:t>
          </a:r>
        </a:p>
      </xdr:txBody>
    </xdr:sp>
    <xdr:clientData/>
  </xdr:oneCellAnchor>
  <xdr:twoCellAnchor editAs="oneCell">
    <xdr:from>
      <xdr:col>5</xdr:col>
      <xdr:colOff>161925</xdr:colOff>
      <xdr:row>4</xdr:row>
      <xdr:rowOff>66675</xdr:rowOff>
    </xdr:from>
    <xdr:to>
      <xdr:col>6</xdr:col>
      <xdr:colOff>19050</xdr:colOff>
      <xdr:row>5</xdr:row>
      <xdr:rowOff>142875</xdr:rowOff>
    </xdr:to>
    <xdr:sp macro="" textlink="">
      <xdr:nvSpPr>
        <xdr:cNvPr id="17427" name="Text Box 19"/>
        <xdr:cNvSpPr txBox="1">
          <a:spLocks noChangeArrowheads="1"/>
        </xdr:cNvSpPr>
      </xdr:nvSpPr>
      <xdr:spPr bwMode="auto">
        <a:xfrm>
          <a:off x="2181225" y="714375"/>
          <a:ext cx="2095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B</a:t>
          </a:r>
        </a:p>
      </xdr:txBody>
    </xdr:sp>
    <xdr:clientData/>
  </xdr:twoCellAnchor>
  <xdr:twoCellAnchor>
    <xdr:from>
      <xdr:col>6</xdr:col>
      <xdr:colOff>161925</xdr:colOff>
      <xdr:row>2</xdr:row>
      <xdr:rowOff>9525</xdr:rowOff>
    </xdr:from>
    <xdr:to>
      <xdr:col>6</xdr:col>
      <xdr:colOff>304800</xdr:colOff>
      <xdr:row>2</xdr:row>
      <xdr:rowOff>142875</xdr:rowOff>
    </xdr:to>
    <xdr:sp macro="" textlink="">
      <xdr:nvSpPr>
        <xdr:cNvPr id="17428" name="Line 20"/>
        <xdr:cNvSpPr>
          <a:spLocks noChangeShapeType="1"/>
        </xdr:cNvSpPr>
      </xdr:nvSpPr>
      <xdr:spPr bwMode="auto">
        <a:xfrm flipH="1">
          <a:off x="2533650" y="333375"/>
          <a:ext cx="142875" cy="1333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238125</xdr:colOff>
      <xdr:row>0</xdr:row>
      <xdr:rowOff>19050</xdr:rowOff>
    </xdr:from>
    <xdr:to>
      <xdr:col>8</xdr:col>
      <xdr:colOff>104775</xdr:colOff>
      <xdr:row>0</xdr:row>
      <xdr:rowOff>152400</xdr:rowOff>
    </xdr:to>
    <xdr:sp macro="" textlink="">
      <xdr:nvSpPr>
        <xdr:cNvPr id="17429" name="Line 21"/>
        <xdr:cNvSpPr>
          <a:spLocks noChangeShapeType="1"/>
        </xdr:cNvSpPr>
      </xdr:nvSpPr>
      <xdr:spPr bwMode="auto">
        <a:xfrm flipV="1">
          <a:off x="2933700" y="19050"/>
          <a:ext cx="209550" cy="1333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28575</xdr:colOff>
      <xdr:row>3</xdr:row>
      <xdr:rowOff>38100</xdr:rowOff>
    </xdr:from>
    <xdr:to>
      <xdr:col>6</xdr:col>
      <xdr:colOff>28575</xdr:colOff>
      <xdr:row>4</xdr:row>
      <xdr:rowOff>66675</xdr:rowOff>
    </xdr:to>
    <xdr:sp macro="" textlink="">
      <xdr:nvSpPr>
        <xdr:cNvPr id="17430" name="Line 22"/>
        <xdr:cNvSpPr>
          <a:spLocks noChangeShapeType="1"/>
        </xdr:cNvSpPr>
      </xdr:nvSpPr>
      <xdr:spPr bwMode="auto">
        <a:xfrm flipV="1">
          <a:off x="2400300" y="523875"/>
          <a:ext cx="0" cy="19050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19050</xdr:colOff>
      <xdr:row>5</xdr:row>
      <xdr:rowOff>95250</xdr:rowOff>
    </xdr:from>
    <xdr:to>
      <xdr:col>6</xdr:col>
      <xdr:colOff>19050</xdr:colOff>
      <xdr:row>6</xdr:row>
      <xdr:rowOff>104775</xdr:rowOff>
    </xdr:to>
    <xdr:sp macro="" textlink="">
      <xdr:nvSpPr>
        <xdr:cNvPr id="17431" name="Line 23"/>
        <xdr:cNvSpPr>
          <a:spLocks noChangeShapeType="1"/>
        </xdr:cNvSpPr>
      </xdr:nvSpPr>
      <xdr:spPr bwMode="auto">
        <a:xfrm>
          <a:off x="2390775" y="904875"/>
          <a:ext cx="0" cy="1714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6</xdr:col>
      <xdr:colOff>28575</xdr:colOff>
      <xdr:row>7</xdr:row>
      <xdr:rowOff>9525</xdr:rowOff>
    </xdr:from>
    <xdr:ext cx="771525" cy="206375"/>
    <xdr:sp macro="" textlink="">
      <xdr:nvSpPr>
        <xdr:cNvPr id="17432" name="Text Box 24"/>
        <xdr:cNvSpPr txBox="1">
          <a:spLocks noChangeArrowheads="1"/>
        </xdr:cNvSpPr>
      </xdr:nvSpPr>
      <xdr:spPr bwMode="auto">
        <a:xfrm>
          <a:off x="2400300" y="1143000"/>
          <a:ext cx="771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FF0000"/>
              </a:solidFill>
              <a:latin typeface="Arial"/>
              <a:cs typeface="Arial"/>
            </a:rPr>
            <a:t>45 L.R. ELL.</a:t>
          </a:r>
        </a:p>
      </xdr:txBody>
    </xdr:sp>
    <xdr:clientData/>
  </xdr:oneCellAnchor>
  <xdr:twoCellAnchor>
    <xdr:from>
      <xdr:col>9</xdr:col>
      <xdr:colOff>257175</xdr:colOff>
      <xdr:row>3</xdr:row>
      <xdr:rowOff>28575</xdr:rowOff>
    </xdr:from>
    <xdr:to>
      <xdr:col>12</xdr:col>
      <xdr:colOff>238125</xdr:colOff>
      <xdr:row>8</xdr:row>
      <xdr:rowOff>133350</xdr:rowOff>
    </xdr:to>
    <xdr:sp macro="" textlink="">
      <xdr:nvSpPr>
        <xdr:cNvPr id="17433" name="AutoShape 25"/>
        <xdr:cNvSpPr>
          <a:spLocks noChangeArrowheads="1"/>
        </xdr:cNvSpPr>
      </xdr:nvSpPr>
      <xdr:spPr bwMode="auto">
        <a:xfrm>
          <a:off x="3648075" y="514350"/>
          <a:ext cx="1047750" cy="914400"/>
        </a:xfrm>
        <a:custGeom>
          <a:avLst/>
          <a:gdLst>
            <a:gd name="G0" fmla="+- 5400 0 0"/>
            <a:gd name="G1" fmla="+- 11796480 0 0"/>
            <a:gd name="G2" fmla="+- 0 0 11796480"/>
            <a:gd name="T0" fmla="*/ 0 256 1"/>
            <a:gd name="T1" fmla="*/ 180 256 1"/>
            <a:gd name="G3" fmla="+- 11796480 T0 T1"/>
            <a:gd name="T2" fmla="*/ 0 256 1"/>
            <a:gd name="T3" fmla="*/ 90 256 1"/>
            <a:gd name="G4" fmla="+- 11796480 T2 T3"/>
            <a:gd name="G5" fmla="*/ G4 2 1"/>
            <a:gd name="T4" fmla="*/ 90 256 1"/>
            <a:gd name="T5" fmla="*/ 0 256 1"/>
            <a:gd name="G6" fmla="+- 11796480 T4 T5"/>
            <a:gd name="G7" fmla="*/ G6 2 1"/>
            <a:gd name="G8" fmla="abs 11796480"/>
            <a:gd name="T6" fmla="*/ 0 256 1"/>
            <a:gd name="T7" fmla="*/ 90 256 1"/>
            <a:gd name="G9" fmla="+- G8 T6 T7"/>
            <a:gd name="G10" fmla="?: G9 G7 G5"/>
            <a:gd name="T8" fmla="*/ 0 256 1"/>
            <a:gd name="T9" fmla="*/ 360 256 1"/>
            <a:gd name="G11" fmla="+- G10 T8 T9"/>
            <a:gd name="G12" fmla="?: G10 G11 G10"/>
            <a:gd name="T10" fmla="*/ 0 256 1"/>
            <a:gd name="T11" fmla="*/ 360 256 1"/>
            <a:gd name="G13" fmla="+- G12 T10 T11"/>
            <a:gd name="G14" fmla="?: G12 G13 G12"/>
            <a:gd name="G15" fmla="+- 0 0 G14"/>
            <a:gd name="G16" fmla="+- 10800 0 0"/>
            <a:gd name="G17" fmla="+- 10800 0 5400"/>
            <a:gd name="G18" fmla="*/ 5400 1 2"/>
            <a:gd name="G19" fmla="+- G18 5400 0"/>
            <a:gd name="G20" fmla="cos G19 11796480"/>
            <a:gd name="G21" fmla="sin G19 11796480"/>
            <a:gd name="G22" fmla="+- G20 10800 0"/>
            <a:gd name="G23" fmla="+- G21 10800 0"/>
            <a:gd name="G24" fmla="+- 10800 0 G20"/>
            <a:gd name="G25" fmla="+- 5400 10800 0"/>
            <a:gd name="G26" fmla="?: G9 G17 G25"/>
            <a:gd name="G27" fmla="?: G9 0 21600"/>
            <a:gd name="G28" fmla="cos 10800 11796480"/>
            <a:gd name="G29" fmla="sin 10800 11796480"/>
            <a:gd name="G30" fmla="sin 5400 11796480"/>
            <a:gd name="G31" fmla="+- G28 10800 0"/>
            <a:gd name="G32" fmla="+- G29 10800 0"/>
            <a:gd name="G33" fmla="+- G30 10800 0"/>
            <a:gd name="G34" fmla="?: G4 0 G31"/>
            <a:gd name="G35" fmla="?: 11796480 G34 0"/>
            <a:gd name="G36" fmla="?: G6 G35 G31"/>
            <a:gd name="G37" fmla="+- 21600 0 G36"/>
            <a:gd name="G38" fmla="?: G4 0 G33"/>
            <a:gd name="G39" fmla="?: 11796480 G38 G32"/>
            <a:gd name="G40" fmla="?: G6 G39 0"/>
            <a:gd name="G41" fmla="?: G4 G32 21600"/>
            <a:gd name="G42" fmla="?: G6 G41 G33"/>
            <a:gd name="T12" fmla="*/ 10800 w 21600"/>
            <a:gd name="T13" fmla="*/ 0 h 21600"/>
            <a:gd name="T14" fmla="*/ 2700 w 21600"/>
            <a:gd name="T15" fmla="*/ 10800 h 21600"/>
            <a:gd name="T16" fmla="*/ 10800 w 21600"/>
            <a:gd name="T17" fmla="*/ 5400 h 21600"/>
            <a:gd name="T18" fmla="*/ 18900 w 21600"/>
            <a:gd name="T19" fmla="*/ 10800 h 21600"/>
            <a:gd name="T20" fmla="*/ G36 w 21600"/>
            <a:gd name="T21" fmla="*/ G40 h 21600"/>
            <a:gd name="T22" fmla="*/ G37 w 21600"/>
            <a:gd name="T23" fmla="*/ G42 h 21600"/>
          </a:gdLst>
          <a:ahLst/>
          <a:cxnLst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</a:cxnLst>
          <a:rect l="T20" t="T21" r="T22" b="T23"/>
          <a:pathLst>
            <a:path w="21600" h="21600">
              <a:moveTo>
                <a:pt x="5400" y="10800"/>
              </a:moveTo>
              <a:cubicBezTo>
                <a:pt x="5400" y="7817"/>
                <a:pt x="7817" y="5400"/>
                <a:pt x="10800" y="5400"/>
              </a:cubicBezTo>
              <a:cubicBezTo>
                <a:pt x="13782" y="5399"/>
                <a:pt x="16199" y="7817"/>
                <a:pt x="16200" y="10799"/>
              </a:cubicBezTo>
              <a:lnTo>
                <a:pt x="21600" y="10800"/>
              </a:lnTo>
              <a:cubicBezTo>
                <a:pt x="21600" y="4835"/>
                <a:pt x="16764" y="0"/>
                <a:pt x="10800" y="0"/>
              </a:cubicBezTo>
              <a:cubicBezTo>
                <a:pt x="4835" y="0"/>
                <a:pt x="0" y="4835"/>
                <a:pt x="0" y="10800"/>
              </a:cubicBezTo>
              <a:close/>
            </a:path>
          </a:pathLst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66675</xdr:colOff>
      <xdr:row>6</xdr:row>
      <xdr:rowOff>9525</xdr:rowOff>
    </xdr:from>
    <xdr:to>
      <xdr:col>10</xdr:col>
      <xdr:colOff>66675</xdr:colOff>
      <xdr:row>8</xdr:row>
      <xdr:rowOff>0</xdr:rowOff>
    </xdr:to>
    <xdr:sp macro="" textlink="">
      <xdr:nvSpPr>
        <xdr:cNvPr id="17434" name="Line 26"/>
        <xdr:cNvSpPr>
          <a:spLocks noChangeShapeType="1"/>
        </xdr:cNvSpPr>
      </xdr:nvSpPr>
      <xdr:spPr bwMode="auto">
        <a:xfrm>
          <a:off x="3800475" y="981075"/>
          <a:ext cx="0" cy="3143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85725</xdr:colOff>
      <xdr:row>4</xdr:row>
      <xdr:rowOff>95250</xdr:rowOff>
    </xdr:from>
    <xdr:to>
      <xdr:col>11</xdr:col>
      <xdr:colOff>85725</xdr:colOff>
      <xdr:row>8</xdr:row>
      <xdr:rowOff>19050</xdr:rowOff>
    </xdr:to>
    <xdr:sp macro="" textlink="">
      <xdr:nvSpPr>
        <xdr:cNvPr id="17435" name="Line 27"/>
        <xdr:cNvSpPr>
          <a:spLocks noChangeShapeType="1"/>
        </xdr:cNvSpPr>
      </xdr:nvSpPr>
      <xdr:spPr bwMode="auto">
        <a:xfrm>
          <a:off x="4181475" y="742950"/>
          <a:ext cx="0" cy="57150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123825</xdr:colOff>
      <xdr:row>5</xdr:row>
      <xdr:rowOff>152400</xdr:rowOff>
    </xdr:from>
    <xdr:to>
      <xdr:col>12</xdr:col>
      <xdr:colOff>123825</xdr:colOff>
      <xdr:row>8</xdr:row>
      <xdr:rowOff>19050</xdr:rowOff>
    </xdr:to>
    <xdr:sp macro="" textlink="">
      <xdr:nvSpPr>
        <xdr:cNvPr id="17436" name="Line 28"/>
        <xdr:cNvSpPr>
          <a:spLocks noChangeShapeType="1"/>
        </xdr:cNvSpPr>
      </xdr:nvSpPr>
      <xdr:spPr bwMode="auto">
        <a:xfrm>
          <a:off x="4581525" y="962025"/>
          <a:ext cx="0" cy="3524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6</xdr:row>
      <xdr:rowOff>0</xdr:rowOff>
    </xdr:from>
    <xdr:to>
      <xdr:col>13</xdr:col>
      <xdr:colOff>304800</xdr:colOff>
      <xdr:row>6</xdr:row>
      <xdr:rowOff>0</xdr:rowOff>
    </xdr:to>
    <xdr:sp macro="" textlink="">
      <xdr:nvSpPr>
        <xdr:cNvPr id="17437" name="Line 29"/>
        <xdr:cNvSpPr>
          <a:spLocks noChangeShapeType="1"/>
        </xdr:cNvSpPr>
      </xdr:nvSpPr>
      <xdr:spPr bwMode="auto">
        <a:xfrm>
          <a:off x="4838700" y="971550"/>
          <a:ext cx="2952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266700</xdr:colOff>
      <xdr:row>3</xdr:row>
      <xdr:rowOff>19050</xdr:rowOff>
    </xdr:from>
    <xdr:to>
      <xdr:col>13</xdr:col>
      <xdr:colOff>304800</xdr:colOff>
      <xdr:row>3</xdr:row>
      <xdr:rowOff>19050</xdr:rowOff>
    </xdr:to>
    <xdr:sp macro="" textlink="">
      <xdr:nvSpPr>
        <xdr:cNvPr id="17438" name="Line 30"/>
        <xdr:cNvSpPr>
          <a:spLocks noChangeShapeType="1"/>
        </xdr:cNvSpPr>
      </xdr:nvSpPr>
      <xdr:spPr bwMode="auto">
        <a:xfrm>
          <a:off x="4362450" y="504825"/>
          <a:ext cx="77152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247650</xdr:colOff>
      <xdr:row>6</xdr:row>
      <xdr:rowOff>0</xdr:rowOff>
    </xdr:from>
    <xdr:to>
      <xdr:col>16</xdr:col>
      <xdr:colOff>266700</xdr:colOff>
      <xdr:row>6</xdr:row>
      <xdr:rowOff>0</xdr:rowOff>
    </xdr:to>
    <xdr:sp macro="" textlink="">
      <xdr:nvSpPr>
        <xdr:cNvPr id="17439" name="Line 31"/>
        <xdr:cNvSpPr>
          <a:spLocks noChangeShapeType="1"/>
        </xdr:cNvSpPr>
      </xdr:nvSpPr>
      <xdr:spPr bwMode="auto">
        <a:xfrm flipH="1">
          <a:off x="5800725" y="971550"/>
          <a:ext cx="42862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219075</xdr:colOff>
      <xdr:row>3</xdr:row>
      <xdr:rowOff>9525</xdr:rowOff>
    </xdr:from>
    <xdr:to>
      <xdr:col>13</xdr:col>
      <xdr:colOff>219075</xdr:colOff>
      <xdr:row>4</xdr:row>
      <xdr:rowOff>19050</xdr:rowOff>
    </xdr:to>
    <xdr:sp macro="" textlink="">
      <xdr:nvSpPr>
        <xdr:cNvPr id="17440" name="Line 32"/>
        <xdr:cNvSpPr>
          <a:spLocks noChangeShapeType="1"/>
        </xdr:cNvSpPr>
      </xdr:nvSpPr>
      <xdr:spPr bwMode="auto">
        <a:xfrm>
          <a:off x="5048250" y="495300"/>
          <a:ext cx="0" cy="1714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228600</xdr:colOff>
      <xdr:row>4</xdr:row>
      <xdr:rowOff>142875</xdr:rowOff>
    </xdr:from>
    <xdr:to>
      <xdr:col>13</xdr:col>
      <xdr:colOff>228600</xdr:colOff>
      <xdr:row>6</xdr:row>
      <xdr:rowOff>9525</xdr:rowOff>
    </xdr:to>
    <xdr:sp macro="" textlink="">
      <xdr:nvSpPr>
        <xdr:cNvPr id="17441" name="Line 33"/>
        <xdr:cNvSpPr>
          <a:spLocks noChangeShapeType="1"/>
        </xdr:cNvSpPr>
      </xdr:nvSpPr>
      <xdr:spPr bwMode="auto">
        <a:xfrm flipV="1">
          <a:off x="5057775" y="790575"/>
          <a:ext cx="0" cy="19050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13</xdr:col>
      <xdr:colOff>152400</xdr:colOff>
      <xdr:row>4</xdr:row>
      <xdr:rowOff>0</xdr:rowOff>
    </xdr:from>
    <xdr:ext cx="161925" cy="196850"/>
    <xdr:sp macro="" textlink="">
      <xdr:nvSpPr>
        <xdr:cNvPr id="17442" name="Text Box 34"/>
        <xdr:cNvSpPr txBox="1">
          <a:spLocks noChangeArrowheads="1"/>
        </xdr:cNvSpPr>
      </xdr:nvSpPr>
      <xdr:spPr bwMode="auto">
        <a:xfrm>
          <a:off x="4981575" y="647700"/>
          <a:ext cx="1619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K</a:t>
          </a:r>
        </a:p>
      </xdr:txBody>
    </xdr:sp>
    <xdr:clientData/>
  </xdr:oneCellAnchor>
  <xdr:twoCellAnchor>
    <xdr:from>
      <xdr:col>10</xdr:col>
      <xdr:colOff>47625</xdr:colOff>
      <xdr:row>7</xdr:row>
      <xdr:rowOff>104775</xdr:rowOff>
    </xdr:from>
    <xdr:to>
      <xdr:col>11</xdr:col>
      <xdr:colOff>104775</xdr:colOff>
      <xdr:row>7</xdr:row>
      <xdr:rowOff>114300</xdr:rowOff>
    </xdr:to>
    <xdr:sp macro="" textlink="">
      <xdr:nvSpPr>
        <xdr:cNvPr id="17443" name="Line 35"/>
        <xdr:cNvSpPr>
          <a:spLocks noChangeShapeType="1"/>
        </xdr:cNvSpPr>
      </xdr:nvSpPr>
      <xdr:spPr bwMode="auto">
        <a:xfrm flipV="1">
          <a:off x="3781425" y="1238250"/>
          <a:ext cx="419100" cy="95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66675</xdr:colOff>
      <xdr:row>7</xdr:row>
      <xdr:rowOff>104775</xdr:rowOff>
    </xdr:from>
    <xdr:to>
      <xdr:col>12</xdr:col>
      <xdr:colOff>123825</xdr:colOff>
      <xdr:row>7</xdr:row>
      <xdr:rowOff>104775</xdr:rowOff>
    </xdr:to>
    <xdr:sp macro="" textlink="">
      <xdr:nvSpPr>
        <xdr:cNvPr id="17444" name="Line 36"/>
        <xdr:cNvSpPr>
          <a:spLocks noChangeShapeType="1"/>
        </xdr:cNvSpPr>
      </xdr:nvSpPr>
      <xdr:spPr bwMode="auto">
        <a:xfrm>
          <a:off x="4162425" y="1238250"/>
          <a:ext cx="4191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10</xdr:col>
      <xdr:colOff>180975</xdr:colOff>
      <xdr:row>6</xdr:row>
      <xdr:rowOff>76200</xdr:rowOff>
    </xdr:from>
    <xdr:ext cx="171450" cy="196850"/>
    <xdr:sp macro="" textlink="">
      <xdr:nvSpPr>
        <xdr:cNvPr id="17445" name="Text Box 37"/>
        <xdr:cNvSpPr txBox="1">
          <a:spLocks noChangeArrowheads="1"/>
        </xdr:cNvSpPr>
      </xdr:nvSpPr>
      <xdr:spPr bwMode="auto">
        <a:xfrm>
          <a:off x="3914775" y="1047750"/>
          <a:ext cx="1714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A</a:t>
          </a:r>
        </a:p>
      </xdr:txBody>
    </xdr:sp>
    <xdr:clientData/>
  </xdr:oneCellAnchor>
  <xdr:oneCellAnchor>
    <xdr:from>
      <xdr:col>11</xdr:col>
      <xdr:colOff>171450</xdr:colOff>
      <xdr:row>6</xdr:row>
      <xdr:rowOff>76200</xdr:rowOff>
    </xdr:from>
    <xdr:ext cx="161925" cy="196850"/>
    <xdr:sp macro="" textlink="">
      <xdr:nvSpPr>
        <xdr:cNvPr id="17446" name="Text Box 38"/>
        <xdr:cNvSpPr txBox="1">
          <a:spLocks noChangeArrowheads="1"/>
        </xdr:cNvSpPr>
      </xdr:nvSpPr>
      <xdr:spPr bwMode="auto">
        <a:xfrm>
          <a:off x="4267200" y="1047750"/>
          <a:ext cx="1619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A</a:t>
          </a:r>
        </a:p>
      </xdr:txBody>
    </xdr:sp>
    <xdr:clientData/>
  </xdr:oneCellAnchor>
  <xdr:oneCellAnchor>
    <xdr:from>
      <xdr:col>10</xdr:col>
      <xdr:colOff>0</xdr:colOff>
      <xdr:row>8</xdr:row>
      <xdr:rowOff>38100</xdr:rowOff>
    </xdr:from>
    <xdr:ext cx="814917" cy="206375"/>
    <xdr:sp macro="" textlink="">
      <xdr:nvSpPr>
        <xdr:cNvPr id="17447" name="Text Box 39"/>
        <xdr:cNvSpPr txBox="1">
          <a:spLocks noChangeArrowheads="1"/>
        </xdr:cNvSpPr>
      </xdr:nvSpPr>
      <xdr:spPr bwMode="auto">
        <a:xfrm>
          <a:off x="3733800" y="1333500"/>
          <a:ext cx="8191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FF0000"/>
              </a:solidFill>
              <a:latin typeface="Arial"/>
              <a:cs typeface="Arial"/>
            </a:rPr>
            <a:t>180 L.R. ELL</a:t>
          </a:r>
        </a:p>
      </xdr:txBody>
    </xdr:sp>
    <xdr:clientData/>
  </xdr:oneCellAnchor>
  <xdr:twoCellAnchor>
    <xdr:from>
      <xdr:col>14</xdr:col>
      <xdr:colOff>295275</xdr:colOff>
      <xdr:row>3</xdr:row>
      <xdr:rowOff>38100</xdr:rowOff>
    </xdr:from>
    <xdr:to>
      <xdr:col>17</xdr:col>
      <xdr:colOff>57150</xdr:colOff>
      <xdr:row>8</xdr:row>
      <xdr:rowOff>142875</xdr:rowOff>
    </xdr:to>
    <xdr:sp macro="" textlink="">
      <xdr:nvSpPr>
        <xdr:cNvPr id="17448" name="AutoShape 40"/>
        <xdr:cNvSpPr>
          <a:spLocks noChangeArrowheads="1"/>
        </xdr:cNvSpPr>
      </xdr:nvSpPr>
      <xdr:spPr bwMode="auto">
        <a:xfrm rot="-2676197">
          <a:off x="5457825" y="523875"/>
          <a:ext cx="981075" cy="914400"/>
        </a:xfrm>
        <a:custGeom>
          <a:avLst/>
          <a:gdLst>
            <a:gd name="G0" fmla="+- 4506 0 0"/>
            <a:gd name="G1" fmla="+- -8904508 0 0"/>
            <a:gd name="G2" fmla="+- 0 0 -8904508"/>
            <a:gd name="T0" fmla="*/ 0 256 1"/>
            <a:gd name="T1" fmla="*/ 180 256 1"/>
            <a:gd name="G3" fmla="+- -8904508 T0 T1"/>
            <a:gd name="T2" fmla="*/ 0 256 1"/>
            <a:gd name="T3" fmla="*/ 90 256 1"/>
            <a:gd name="G4" fmla="+- -8904508 T2 T3"/>
            <a:gd name="G5" fmla="*/ G4 2 1"/>
            <a:gd name="T4" fmla="*/ 90 256 1"/>
            <a:gd name="T5" fmla="*/ 0 256 1"/>
            <a:gd name="G6" fmla="+- -8904508 T4 T5"/>
            <a:gd name="G7" fmla="*/ G6 2 1"/>
            <a:gd name="G8" fmla="abs -8904508"/>
            <a:gd name="T6" fmla="*/ 0 256 1"/>
            <a:gd name="T7" fmla="*/ 90 256 1"/>
            <a:gd name="G9" fmla="+- G8 T6 T7"/>
            <a:gd name="G10" fmla="?: G9 G7 G5"/>
            <a:gd name="T8" fmla="*/ 0 256 1"/>
            <a:gd name="T9" fmla="*/ 360 256 1"/>
            <a:gd name="G11" fmla="+- G10 T8 T9"/>
            <a:gd name="G12" fmla="?: G10 G11 G10"/>
            <a:gd name="T10" fmla="*/ 0 256 1"/>
            <a:gd name="T11" fmla="*/ 360 256 1"/>
            <a:gd name="G13" fmla="+- G12 T10 T11"/>
            <a:gd name="G14" fmla="?: G12 G13 G12"/>
            <a:gd name="G15" fmla="+- 0 0 G14"/>
            <a:gd name="G16" fmla="+- 10800 0 0"/>
            <a:gd name="G17" fmla="+- 10800 0 4506"/>
            <a:gd name="G18" fmla="*/ 4506 1 2"/>
            <a:gd name="G19" fmla="+- G18 5400 0"/>
            <a:gd name="G20" fmla="cos G19 -8904508"/>
            <a:gd name="G21" fmla="sin G19 -8904508"/>
            <a:gd name="G22" fmla="+- G20 10800 0"/>
            <a:gd name="G23" fmla="+- G21 10800 0"/>
            <a:gd name="G24" fmla="+- 10800 0 G20"/>
            <a:gd name="G25" fmla="+- 4506 10800 0"/>
            <a:gd name="G26" fmla="?: G9 G17 G25"/>
            <a:gd name="G27" fmla="?: G9 0 21600"/>
            <a:gd name="G28" fmla="cos 10800 -8904508"/>
            <a:gd name="G29" fmla="sin 10800 -8904508"/>
            <a:gd name="G30" fmla="sin 4506 -8904508"/>
            <a:gd name="G31" fmla="+- G28 10800 0"/>
            <a:gd name="G32" fmla="+- G29 10800 0"/>
            <a:gd name="G33" fmla="+- G30 10800 0"/>
            <a:gd name="G34" fmla="?: G4 0 G31"/>
            <a:gd name="G35" fmla="?: -8904508 G34 0"/>
            <a:gd name="G36" fmla="?: G6 G35 G31"/>
            <a:gd name="G37" fmla="+- 21600 0 G36"/>
            <a:gd name="G38" fmla="?: G4 0 G33"/>
            <a:gd name="G39" fmla="?: -8904508 G38 G32"/>
            <a:gd name="G40" fmla="?: G6 G39 0"/>
            <a:gd name="G41" fmla="?: G4 G32 21600"/>
            <a:gd name="G42" fmla="?: G6 G41 G33"/>
            <a:gd name="T12" fmla="*/ 10800 w 21600"/>
            <a:gd name="T13" fmla="*/ 0 h 21600"/>
            <a:gd name="T14" fmla="*/ 5306 w 21600"/>
            <a:gd name="T15" fmla="*/ 5471 h 21600"/>
            <a:gd name="T16" fmla="*/ 10800 w 21600"/>
            <a:gd name="T17" fmla="*/ 6294 h 21600"/>
            <a:gd name="T18" fmla="*/ 16294 w 21600"/>
            <a:gd name="T19" fmla="*/ 5471 h 21600"/>
            <a:gd name="T20" fmla="*/ G36 w 21600"/>
            <a:gd name="T21" fmla="*/ G40 h 21600"/>
            <a:gd name="T22" fmla="*/ G37 w 21600"/>
            <a:gd name="T23" fmla="*/ G42 h 21600"/>
          </a:gdLst>
          <a:ahLst/>
          <a:cxnLst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</a:cxnLst>
          <a:rect l="T20" t="T21" r="T22" b="T23"/>
          <a:pathLst>
            <a:path w="21600" h="21600">
              <a:moveTo>
                <a:pt x="7565" y="7662"/>
              </a:moveTo>
              <a:cubicBezTo>
                <a:pt x="8414" y="6787"/>
                <a:pt x="9581" y="6293"/>
                <a:pt x="10800" y="6294"/>
              </a:cubicBezTo>
              <a:cubicBezTo>
                <a:pt x="12018" y="6294"/>
                <a:pt x="13185" y="6787"/>
                <a:pt x="14034" y="7662"/>
              </a:cubicBezTo>
              <a:lnTo>
                <a:pt x="18552" y="3280"/>
              </a:lnTo>
              <a:cubicBezTo>
                <a:pt x="16518" y="1183"/>
                <a:pt x="13721" y="-1"/>
                <a:pt x="10799" y="0"/>
              </a:cubicBezTo>
              <a:cubicBezTo>
                <a:pt x="7878" y="0"/>
                <a:pt x="5081" y="1183"/>
                <a:pt x="3047" y="3280"/>
              </a:cubicBezTo>
              <a:close/>
            </a:path>
          </a:pathLst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276225</xdr:colOff>
      <xdr:row>4</xdr:row>
      <xdr:rowOff>19050</xdr:rowOff>
    </xdr:from>
    <xdr:to>
      <xdr:col>16</xdr:col>
      <xdr:colOff>304800</xdr:colOff>
      <xdr:row>4</xdr:row>
      <xdr:rowOff>19050</xdr:rowOff>
    </xdr:to>
    <xdr:sp macro="" textlink="">
      <xdr:nvSpPr>
        <xdr:cNvPr id="17449" name="Line 41"/>
        <xdr:cNvSpPr>
          <a:spLocks noChangeShapeType="1"/>
        </xdr:cNvSpPr>
      </xdr:nvSpPr>
      <xdr:spPr bwMode="auto">
        <a:xfrm>
          <a:off x="5829300" y="666750"/>
          <a:ext cx="4381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228600</xdr:colOff>
      <xdr:row>3</xdr:row>
      <xdr:rowOff>9525</xdr:rowOff>
    </xdr:from>
    <xdr:to>
      <xdr:col>16</xdr:col>
      <xdr:colOff>228600</xdr:colOff>
      <xdr:row>4</xdr:row>
      <xdr:rowOff>28575</xdr:rowOff>
    </xdr:to>
    <xdr:sp macro="" textlink="">
      <xdr:nvSpPr>
        <xdr:cNvPr id="17450" name="Line 42"/>
        <xdr:cNvSpPr>
          <a:spLocks noChangeShapeType="1"/>
        </xdr:cNvSpPr>
      </xdr:nvSpPr>
      <xdr:spPr bwMode="auto">
        <a:xfrm flipV="1">
          <a:off x="6191250" y="495300"/>
          <a:ext cx="0" cy="18097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238125</xdr:colOff>
      <xdr:row>5</xdr:row>
      <xdr:rowOff>152400</xdr:rowOff>
    </xdr:from>
    <xdr:to>
      <xdr:col>16</xdr:col>
      <xdr:colOff>238125</xdr:colOff>
      <xdr:row>7</xdr:row>
      <xdr:rowOff>38100</xdr:rowOff>
    </xdr:to>
    <xdr:sp macro="" textlink="">
      <xdr:nvSpPr>
        <xdr:cNvPr id="17451" name="Line 43"/>
        <xdr:cNvSpPr>
          <a:spLocks noChangeShapeType="1"/>
        </xdr:cNvSpPr>
      </xdr:nvSpPr>
      <xdr:spPr bwMode="auto">
        <a:xfrm>
          <a:off x="6200775" y="962025"/>
          <a:ext cx="0" cy="2095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371475</xdr:colOff>
      <xdr:row>5</xdr:row>
      <xdr:rowOff>66675</xdr:rowOff>
    </xdr:from>
    <xdr:to>
      <xdr:col>15</xdr:col>
      <xdr:colOff>371475</xdr:colOff>
      <xdr:row>8</xdr:row>
      <xdr:rowOff>19050</xdr:rowOff>
    </xdr:to>
    <xdr:sp macro="" textlink="">
      <xdr:nvSpPr>
        <xdr:cNvPr id="17452" name="Line 44"/>
        <xdr:cNvSpPr>
          <a:spLocks noChangeShapeType="1"/>
        </xdr:cNvSpPr>
      </xdr:nvSpPr>
      <xdr:spPr bwMode="auto">
        <a:xfrm>
          <a:off x="5924550" y="876300"/>
          <a:ext cx="0" cy="4381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66675</xdr:colOff>
      <xdr:row>6</xdr:row>
      <xdr:rowOff>0</xdr:rowOff>
    </xdr:from>
    <xdr:to>
      <xdr:col>15</xdr:col>
      <xdr:colOff>66675</xdr:colOff>
      <xdr:row>8</xdr:row>
      <xdr:rowOff>47625</xdr:rowOff>
    </xdr:to>
    <xdr:sp macro="" textlink="">
      <xdr:nvSpPr>
        <xdr:cNvPr id="17453" name="Line 45"/>
        <xdr:cNvSpPr>
          <a:spLocks noChangeShapeType="1"/>
        </xdr:cNvSpPr>
      </xdr:nvSpPr>
      <xdr:spPr bwMode="auto">
        <a:xfrm>
          <a:off x="5619750" y="971550"/>
          <a:ext cx="0" cy="37147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361950</xdr:colOff>
      <xdr:row>7</xdr:row>
      <xdr:rowOff>133350</xdr:rowOff>
    </xdr:from>
    <xdr:to>
      <xdr:col>16</xdr:col>
      <xdr:colOff>152400</xdr:colOff>
      <xdr:row>7</xdr:row>
      <xdr:rowOff>133350</xdr:rowOff>
    </xdr:to>
    <xdr:sp macro="" textlink="">
      <xdr:nvSpPr>
        <xdr:cNvPr id="17454" name="Line 46"/>
        <xdr:cNvSpPr>
          <a:spLocks noChangeShapeType="1"/>
        </xdr:cNvSpPr>
      </xdr:nvSpPr>
      <xdr:spPr bwMode="auto">
        <a:xfrm>
          <a:off x="5915025" y="1266825"/>
          <a:ext cx="20002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323850</xdr:colOff>
      <xdr:row>7</xdr:row>
      <xdr:rowOff>76200</xdr:rowOff>
    </xdr:from>
    <xdr:to>
      <xdr:col>18</xdr:col>
      <xdr:colOff>333375</xdr:colOff>
      <xdr:row>7</xdr:row>
      <xdr:rowOff>76200</xdr:rowOff>
    </xdr:to>
    <xdr:sp macro="" textlink="">
      <xdr:nvSpPr>
        <xdr:cNvPr id="17455" name="Line 47"/>
        <xdr:cNvSpPr>
          <a:spLocks noChangeShapeType="1"/>
        </xdr:cNvSpPr>
      </xdr:nvSpPr>
      <xdr:spPr bwMode="auto">
        <a:xfrm flipH="1">
          <a:off x="6705600" y="1209675"/>
          <a:ext cx="5143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15</xdr:col>
      <xdr:colOff>152400</xdr:colOff>
      <xdr:row>7</xdr:row>
      <xdr:rowOff>0</xdr:rowOff>
    </xdr:from>
    <xdr:ext cx="161925" cy="196850"/>
    <xdr:sp macro="" textlink="">
      <xdr:nvSpPr>
        <xdr:cNvPr id="17456" name="Text Box 48"/>
        <xdr:cNvSpPr txBox="1">
          <a:spLocks noChangeArrowheads="1"/>
        </xdr:cNvSpPr>
      </xdr:nvSpPr>
      <xdr:spPr bwMode="auto">
        <a:xfrm>
          <a:off x="5705475" y="1133475"/>
          <a:ext cx="1619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D</a:t>
          </a:r>
        </a:p>
      </xdr:txBody>
    </xdr:sp>
    <xdr:clientData/>
  </xdr:oneCellAnchor>
  <xdr:oneCellAnchor>
    <xdr:from>
      <xdr:col>16</xdr:col>
      <xdr:colOff>180975</xdr:colOff>
      <xdr:row>4</xdr:row>
      <xdr:rowOff>104775</xdr:rowOff>
    </xdr:from>
    <xdr:ext cx="171450" cy="206375"/>
    <xdr:sp macro="" textlink="">
      <xdr:nvSpPr>
        <xdr:cNvPr id="17457" name="Text Box 49"/>
        <xdr:cNvSpPr txBox="1">
          <a:spLocks noChangeArrowheads="1"/>
        </xdr:cNvSpPr>
      </xdr:nvSpPr>
      <xdr:spPr bwMode="auto">
        <a:xfrm>
          <a:off x="6143625" y="752475"/>
          <a:ext cx="1714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D</a:t>
          </a:r>
        </a:p>
      </xdr:txBody>
    </xdr:sp>
    <xdr:clientData/>
  </xdr:oneCellAnchor>
  <xdr:oneCellAnchor>
    <xdr:from>
      <xdr:col>14</xdr:col>
      <xdr:colOff>266700</xdr:colOff>
      <xdr:row>8</xdr:row>
      <xdr:rowOff>76200</xdr:rowOff>
    </xdr:from>
    <xdr:ext cx="747183" cy="196850"/>
    <xdr:sp macro="" textlink="">
      <xdr:nvSpPr>
        <xdr:cNvPr id="17458" name="Text Box 50"/>
        <xdr:cNvSpPr txBox="1">
          <a:spLocks noChangeArrowheads="1"/>
        </xdr:cNvSpPr>
      </xdr:nvSpPr>
      <xdr:spPr bwMode="auto">
        <a:xfrm>
          <a:off x="5429250" y="1371600"/>
          <a:ext cx="7429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FF0000"/>
              </a:solidFill>
              <a:latin typeface="Arial"/>
              <a:cs typeface="Arial"/>
            </a:rPr>
            <a:t>90 S.R. ELL</a:t>
          </a:r>
        </a:p>
      </xdr:txBody>
    </xdr:sp>
    <xdr:clientData/>
  </xdr:oneCellAnchor>
  <xdr:twoCellAnchor>
    <xdr:from>
      <xdr:col>17</xdr:col>
      <xdr:colOff>209550</xdr:colOff>
      <xdr:row>3</xdr:row>
      <xdr:rowOff>85725</xdr:rowOff>
    </xdr:from>
    <xdr:to>
      <xdr:col>19</xdr:col>
      <xdr:colOff>104775</xdr:colOff>
      <xdr:row>8</xdr:row>
      <xdr:rowOff>9525</xdr:rowOff>
    </xdr:to>
    <xdr:sp macro="" textlink="">
      <xdr:nvSpPr>
        <xdr:cNvPr id="17459" name="AutoShape 51"/>
        <xdr:cNvSpPr>
          <a:spLocks noChangeArrowheads="1"/>
        </xdr:cNvSpPr>
      </xdr:nvSpPr>
      <xdr:spPr bwMode="auto">
        <a:xfrm>
          <a:off x="6591300" y="571500"/>
          <a:ext cx="809625" cy="733425"/>
        </a:xfrm>
        <a:custGeom>
          <a:avLst/>
          <a:gdLst>
            <a:gd name="G0" fmla="+- 4743 0 0"/>
            <a:gd name="G1" fmla="+- 11679300 0 0"/>
            <a:gd name="G2" fmla="+- 0 0 11679300"/>
            <a:gd name="T0" fmla="*/ 0 256 1"/>
            <a:gd name="T1" fmla="*/ 180 256 1"/>
            <a:gd name="G3" fmla="+- 11679300 T0 T1"/>
            <a:gd name="T2" fmla="*/ 0 256 1"/>
            <a:gd name="T3" fmla="*/ 90 256 1"/>
            <a:gd name="G4" fmla="+- 11679300 T2 T3"/>
            <a:gd name="G5" fmla="*/ G4 2 1"/>
            <a:gd name="T4" fmla="*/ 90 256 1"/>
            <a:gd name="T5" fmla="*/ 0 256 1"/>
            <a:gd name="G6" fmla="+- 11679300 T4 T5"/>
            <a:gd name="G7" fmla="*/ G6 2 1"/>
            <a:gd name="G8" fmla="abs 11679300"/>
            <a:gd name="T6" fmla="*/ 0 256 1"/>
            <a:gd name="T7" fmla="*/ 90 256 1"/>
            <a:gd name="G9" fmla="+- G8 T6 T7"/>
            <a:gd name="G10" fmla="?: G9 G7 G5"/>
            <a:gd name="T8" fmla="*/ 0 256 1"/>
            <a:gd name="T9" fmla="*/ 360 256 1"/>
            <a:gd name="G11" fmla="+- G10 T8 T9"/>
            <a:gd name="G12" fmla="?: G10 G11 G10"/>
            <a:gd name="T10" fmla="*/ 0 256 1"/>
            <a:gd name="T11" fmla="*/ 360 256 1"/>
            <a:gd name="G13" fmla="+- G12 T10 T11"/>
            <a:gd name="G14" fmla="?: G12 G13 G12"/>
            <a:gd name="G15" fmla="+- 0 0 G14"/>
            <a:gd name="G16" fmla="+- 10800 0 0"/>
            <a:gd name="G17" fmla="+- 10800 0 4743"/>
            <a:gd name="G18" fmla="*/ 4743 1 2"/>
            <a:gd name="G19" fmla="+- G18 5400 0"/>
            <a:gd name="G20" fmla="cos G19 11679300"/>
            <a:gd name="G21" fmla="sin G19 11679300"/>
            <a:gd name="G22" fmla="+- G20 10800 0"/>
            <a:gd name="G23" fmla="+- G21 10800 0"/>
            <a:gd name="G24" fmla="+- 10800 0 G20"/>
            <a:gd name="G25" fmla="+- 4743 10800 0"/>
            <a:gd name="G26" fmla="?: G9 G17 G25"/>
            <a:gd name="G27" fmla="?: G9 0 21600"/>
            <a:gd name="G28" fmla="cos 10800 11679300"/>
            <a:gd name="G29" fmla="sin 10800 11679300"/>
            <a:gd name="G30" fmla="sin 4743 11679300"/>
            <a:gd name="G31" fmla="+- G28 10800 0"/>
            <a:gd name="G32" fmla="+- G29 10800 0"/>
            <a:gd name="G33" fmla="+- G30 10800 0"/>
            <a:gd name="G34" fmla="?: G4 0 G31"/>
            <a:gd name="G35" fmla="?: 11679300 G34 0"/>
            <a:gd name="G36" fmla="?: G6 G35 G31"/>
            <a:gd name="G37" fmla="+- 21600 0 G36"/>
            <a:gd name="G38" fmla="?: G4 0 G33"/>
            <a:gd name="G39" fmla="?: 11679300 G38 G32"/>
            <a:gd name="G40" fmla="?: G6 G39 0"/>
            <a:gd name="G41" fmla="?: G4 G32 21600"/>
            <a:gd name="G42" fmla="?: G6 G41 G33"/>
            <a:gd name="T12" fmla="*/ 10800 w 21600"/>
            <a:gd name="T13" fmla="*/ 0 h 21600"/>
            <a:gd name="T14" fmla="*/ 3031 w 21600"/>
            <a:gd name="T15" fmla="*/ 11042 h 21600"/>
            <a:gd name="T16" fmla="*/ 10800 w 21600"/>
            <a:gd name="T17" fmla="*/ 6057 h 21600"/>
            <a:gd name="T18" fmla="*/ 18569 w 21600"/>
            <a:gd name="T19" fmla="*/ 11042 h 21600"/>
            <a:gd name="T20" fmla="*/ G36 w 21600"/>
            <a:gd name="T21" fmla="*/ G40 h 21600"/>
            <a:gd name="T22" fmla="*/ G37 w 21600"/>
            <a:gd name="T23" fmla="*/ G42 h 21600"/>
          </a:gdLst>
          <a:ahLst/>
          <a:cxnLst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</a:cxnLst>
          <a:rect l="T20" t="T21" r="T22" b="T23"/>
          <a:pathLst>
            <a:path w="21600" h="21600">
              <a:moveTo>
                <a:pt x="6059" y="10947"/>
              </a:moveTo>
              <a:cubicBezTo>
                <a:pt x="6057" y="10898"/>
                <a:pt x="6057" y="10849"/>
                <a:pt x="6057" y="10800"/>
              </a:cubicBezTo>
              <a:cubicBezTo>
                <a:pt x="6057" y="8180"/>
                <a:pt x="8180" y="6057"/>
                <a:pt x="10800" y="6057"/>
              </a:cubicBezTo>
              <a:cubicBezTo>
                <a:pt x="13419" y="6057"/>
                <a:pt x="15543" y="8180"/>
                <a:pt x="15543" y="10800"/>
              </a:cubicBezTo>
              <a:cubicBezTo>
                <a:pt x="15543" y="10849"/>
                <a:pt x="15542" y="10898"/>
                <a:pt x="15540" y="10947"/>
              </a:cubicBezTo>
              <a:lnTo>
                <a:pt x="21594" y="11136"/>
              </a:lnTo>
              <a:cubicBezTo>
                <a:pt x="21598" y="11024"/>
                <a:pt x="21600" y="10912"/>
                <a:pt x="21600" y="10800"/>
              </a:cubicBezTo>
              <a:cubicBezTo>
                <a:pt x="21600" y="4835"/>
                <a:pt x="16764" y="0"/>
                <a:pt x="10800" y="0"/>
              </a:cubicBezTo>
              <a:cubicBezTo>
                <a:pt x="4835" y="0"/>
                <a:pt x="0" y="4835"/>
                <a:pt x="0" y="10800"/>
              </a:cubicBezTo>
              <a:cubicBezTo>
                <a:pt x="-1" y="10912"/>
                <a:pt x="1" y="11024"/>
                <a:pt x="5" y="11136"/>
              </a:cubicBezTo>
              <a:close/>
            </a:path>
          </a:pathLst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miter lim="800000"/>
          <a:headEnd/>
          <a:tailEnd/>
        </a:ln>
      </xdr:spPr>
    </xdr:sp>
    <xdr:clientData/>
  </xdr:twoCellAnchor>
  <xdr:twoCellAnchor>
    <xdr:from>
      <xdr:col>17</xdr:col>
      <xdr:colOff>333375</xdr:colOff>
      <xdr:row>5</xdr:row>
      <xdr:rowOff>123825</xdr:rowOff>
    </xdr:from>
    <xdr:to>
      <xdr:col>17</xdr:col>
      <xdr:colOff>333375</xdr:colOff>
      <xdr:row>7</xdr:row>
      <xdr:rowOff>114300</xdr:rowOff>
    </xdr:to>
    <xdr:sp macro="" textlink="">
      <xdr:nvSpPr>
        <xdr:cNvPr id="17460" name="Line 52"/>
        <xdr:cNvSpPr>
          <a:spLocks noChangeShapeType="1"/>
        </xdr:cNvSpPr>
      </xdr:nvSpPr>
      <xdr:spPr bwMode="auto">
        <a:xfrm>
          <a:off x="6715125" y="933450"/>
          <a:ext cx="0" cy="3143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95250</xdr:colOff>
      <xdr:row>4</xdr:row>
      <xdr:rowOff>114300</xdr:rowOff>
    </xdr:from>
    <xdr:to>
      <xdr:col>18</xdr:col>
      <xdr:colOff>95250</xdr:colOff>
      <xdr:row>8</xdr:row>
      <xdr:rowOff>38100</xdr:rowOff>
    </xdr:to>
    <xdr:sp macro="" textlink="">
      <xdr:nvSpPr>
        <xdr:cNvPr id="17461" name="Line 53"/>
        <xdr:cNvSpPr>
          <a:spLocks noChangeShapeType="1"/>
        </xdr:cNvSpPr>
      </xdr:nvSpPr>
      <xdr:spPr bwMode="auto">
        <a:xfrm>
          <a:off x="6981825" y="762000"/>
          <a:ext cx="0" cy="57150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333375</xdr:colOff>
      <xdr:row>5</xdr:row>
      <xdr:rowOff>114300</xdr:rowOff>
    </xdr:from>
    <xdr:to>
      <xdr:col>18</xdr:col>
      <xdr:colOff>333375</xdr:colOff>
      <xdr:row>7</xdr:row>
      <xdr:rowOff>104775</xdr:rowOff>
    </xdr:to>
    <xdr:sp macro="" textlink="">
      <xdr:nvSpPr>
        <xdr:cNvPr id="17462" name="Line 54"/>
        <xdr:cNvSpPr>
          <a:spLocks noChangeShapeType="1"/>
        </xdr:cNvSpPr>
      </xdr:nvSpPr>
      <xdr:spPr bwMode="auto">
        <a:xfrm>
          <a:off x="7219950" y="923925"/>
          <a:ext cx="0" cy="3143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38100</xdr:colOff>
      <xdr:row>7</xdr:row>
      <xdr:rowOff>9525</xdr:rowOff>
    </xdr:from>
    <xdr:to>
      <xdr:col>18</xdr:col>
      <xdr:colOff>123825</xdr:colOff>
      <xdr:row>7</xdr:row>
      <xdr:rowOff>123825</xdr:rowOff>
    </xdr:to>
    <xdr:sp macro="" textlink="">
      <xdr:nvSpPr>
        <xdr:cNvPr id="17463" name="Line 55"/>
        <xdr:cNvSpPr>
          <a:spLocks noChangeShapeType="1"/>
        </xdr:cNvSpPr>
      </xdr:nvSpPr>
      <xdr:spPr bwMode="auto">
        <a:xfrm flipV="1">
          <a:off x="6924675" y="1143000"/>
          <a:ext cx="85725" cy="114300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17</xdr:col>
      <xdr:colOff>390525</xdr:colOff>
      <xdr:row>6</xdr:row>
      <xdr:rowOff>57150</xdr:rowOff>
    </xdr:from>
    <xdr:ext cx="165100" cy="196850"/>
    <xdr:sp macro="" textlink="">
      <xdr:nvSpPr>
        <xdr:cNvPr id="17464" name="Text Box 56"/>
        <xdr:cNvSpPr txBox="1">
          <a:spLocks noChangeArrowheads="1"/>
        </xdr:cNvSpPr>
      </xdr:nvSpPr>
      <xdr:spPr bwMode="auto">
        <a:xfrm>
          <a:off x="6772275" y="1028700"/>
          <a:ext cx="1619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D</a:t>
          </a:r>
        </a:p>
      </xdr:txBody>
    </xdr:sp>
    <xdr:clientData/>
  </xdr:oneCellAnchor>
  <xdr:oneCellAnchor>
    <xdr:from>
      <xdr:col>18</xdr:col>
      <xdr:colOff>123825</xdr:colOff>
      <xdr:row>6</xdr:row>
      <xdr:rowOff>57150</xdr:rowOff>
    </xdr:from>
    <xdr:ext cx="171450" cy="196850"/>
    <xdr:sp macro="" textlink="">
      <xdr:nvSpPr>
        <xdr:cNvPr id="17465" name="Text Box 57"/>
        <xdr:cNvSpPr txBox="1">
          <a:spLocks noChangeArrowheads="1"/>
        </xdr:cNvSpPr>
      </xdr:nvSpPr>
      <xdr:spPr bwMode="auto">
        <a:xfrm>
          <a:off x="7010400" y="1028700"/>
          <a:ext cx="1714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D</a:t>
          </a:r>
        </a:p>
      </xdr:txBody>
    </xdr:sp>
    <xdr:clientData/>
  </xdr:oneCellAnchor>
  <xdr:twoCellAnchor>
    <xdr:from>
      <xdr:col>19</xdr:col>
      <xdr:colOff>161925</xdr:colOff>
      <xdr:row>5</xdr:row>
      <xdr:rowOff>142875</xdr:rowOff>
    </xdr:from>
    <xdr:to>
      <xdr:col>19</xdr:col>
      <xdr:colOff>438150</xdr:colOff>
      <xdr:row>5</xdr:row>
      <xdr:rowOff>142875</xdr:rowOff>
    </xdr:to>
    <xdr:sp macro="" textlink="">
      <xdr:nvSpPr>
        <xdr:cNvPr id="17466" name="Line 58"/>
        <xdr:cNvSpPr>
          <a:spLocks noChangeShapeType="1"/>
        </xdr:cNvSpPr>
      </xdr:nvSpPr>
      <xdr:spPr bwMode="auto">
        <a:xfrm>
          <a:off x="7458075" y="952500"/>
          <a:ext cx="27622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276225</xdr:colOff>
      <xdr:row>3</xdr:row>
      <xdr:rowOff>85725</xdr:rowOff>
    </xdr:from>
    <xdr:to>
      <xdr:col>19</xdr:col>
      <xdr:colOff>447675</xdr:colOff>
      <xdr:row>3</xdr:row>
      <xdr:rowOff>85725</xdr:rowOff>
    </xdr:to>
    <xdr:sp macro="" textlink="">
      <xdr:nvSpPr>
        <xdr:cNvPr id="17467" name="Line 59"/>
        <xdr:cNvSpPr>
          <a:spLocks noChangeShapeType="1"/>
        </xdr:cNvSpPr>
      </xdr:nvSpPr>
      <xdr:spPr bwMode="auto">
        <a:xfrm>
          <a:off x="7162800" y="571500"/>
          <a:ext cx="5715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352425</xdr:colOff>
      <xdr:row>3</xdr:row>
      <xdr:rowOff>95250</xdr:rowOff>
    </xdr:from>
    <xdr:to>
      <xdr:col>19</xdr:col>
      <xdr:colOff>352425</xdr:colOff>
      <xdr:row>5</xdr:row>
      <xdr:rowOff>133350</xdr:rowOff>
    </xdr:to>
    <xdr:sp macro="" textlink="">
      <xdr:nvSpPr>
        <xdr:cNvPr id="17468" name="Line 60"/>
        <xdr:cNvSpPr>
          <a:spLocks noChangeShapeType="1"/>
        </xdr:cNvSpPr>
      </xdr:nvSpPr>
      <xdr:spPr bwMode="auto">
        <a:xfrm>
          <a:off x="7648575" y="581025"/>
          <a:ext cx="0" cy="3619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19</xdr:col>
      <xdr:colOff>409575</xdr:colOff>
      <xdr:row>4</xdr:row>
      <xdr:rowOff>28575</xdr:rowOff>
    </xdr:from>
    <xdr:ext cx="176741" cy="206375"/>
    <xdr:sp macro="" textlink="">
      <xdr:nvSpPr>
        <xdr:cNvPr id="17469" name="Text Box 61"/>
        <xdr:cNvSpPr txBox="1">
          <a:spLocks noChangeArrowheads="1"/>
        </xdr:cNvSpPr>
      </xdr:nvSpPr>
      <xdr:spPr bwMode="auto">
        <a:xfrm>
          <a:off x="7705725" y="676275"/>
          <a:ext cx="1809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V</a:t>
          </a:r>
        </a:p>
      </xdr:txBody>
    </xdr:sp>
    <xdr:clientData/>
  </xdr:oneCellAnchor>
  <xdr:oneCellAnchor>
    <xdr:from>
      <xdr:col>17</xdr:col>
      <xdr:colOff>190500</xdr:colOff>
      <xdr:row>8</xdr:row>
      <xdr:rowOff>28575</xdr:rowOff>
    </xdr:from>
    <xdr:ext cx="825500" cy="206375"/>
    <xdr:sp macro="" textlink="">
      <xdr:nvSpPr>
        <xdr:cNvPr id="17470" name="Text Box 62"/>
        <xdr:cNvSpPr txBox="1">
          <a:spLocks noChangeArrowheads="1"/>
        </xdr:cNvSpPr>
      </xdr:nvSpPr>
      <xdr:spPr bwMode="auto">
        <a:xfrm>
          <a:off x="6572250" y="1323975"/>
          <a:ext cx="8191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FF0000"/>
              </a:solidFill>
              <a:latin typeface="Arial"/>
              <a:cs typeface="Arial"/>
            </a:rPr>
            <a:t>180 S.R. ELL</a:t>
          </a:r>
        </a:p>
      </xdr:txBody>
    </xdr:sp>
    <xdr:clientData/>
  </xdr:oneCellAnchor>
  <xdr:twoCellAnchor>
    <xdr:from>
      <xdr:col>21</xdr:col>
      <xdr:colOff>200025</xdr:colOff>
      <xdr:row>0</xdr:row>
      <xdr:rowOff>0</xdr:rowOff>
    </xdr:from>
    <xdr:to>
      <xdr:col>23</xdr:col>
      <xdr:colOff>38100</xdr:colOff>
      <xdr:row>5</xdr:row>
      <xdr:rowOff>9525</xdr:rowOff>
    </xdr:to>
    <xdr:sp macro="" textlink="">
      <xdr:nvSpPr>
        <xdr:cNvPr id="17471" name="Arc 63"/>
        <xdr:cNvSpPr>
          <a:spLocks/>
        </xdr:cNvSpPr>
      </xdr:nvSpPr>
      <xdr:spPr bwMode="auto">
        <a:xfrm rot="-2443811">
          <a:off x="8334375" y="0"/>
          <a:ext cx="533400" cy="819150"/>
        </a:xfrm>
        <a:custGeom>
          <a:avLst/>
          <a:gdLst>
            <a:gd name="G0" fmla="+- 1760 0 0"/>
            <a:gd name="G1" fmla="+- 21600 0 0"/>
            <a:gd name="G2" fmla="+- 21600 0 0"/>
            <a:gd name="T0" fmla="*/ 0 w 20437"/>
            <a:gd name="T1" fmla="*/ 72 h 21600"/>
            <a:gd name="T2" fmla="*/ 20437 w 20437"/>
            <a:gd name="T3" fmla="*/ 10750 h 21600"/>
            <a:gd name="T4" fmla="*/ 1760 w 20437"/>
            <a:gd name="T5" fmla="*/ 21600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</a:cxnLst>
          <a:rect l="0" t="0" r="r" b="b"/>
          <a:pathLst>
            <a:path w="20437" h="21600" fill="none" extrusionOk="0">
              <a:moveTo>
                <a:pt x="-1" y="71"/>
              </a:moveTo>
              <a:cubicBezTo>
                <a:pt x="585" y="23"/>
                <a:pt x="1172" y="-1"/>
                <a:pt x="1760" y="0"/>
              </a:cubicBezTo>
              <a:cubicBezTo>
                <a:pt x="9456" y="0"/>
                <a:pt x="16571" y="4095"/>
                <a:pt x="20437" y="10749"/>
              </a:cubicBezTo>
            </a:path>
            <a:path w="20437" h="21600" stroke="0" extrusionOk="0">
              <a:moveTo>
                <a:pt x="-1" y="71"/>
              </a:moveTo>
              <a:cubicBezTo>
                <a:pt x="585" y="23"/>
                <a:pt x="1172" y="-1"/>
                <a:pt x="1760" y="0"/>
              </a:cubicBezTo>
              <a:cubicBezTo>
                <a:pt x="9456" y="0"/>
                <a:pt x="16571" y="4095"/>
                <a:pt x="20437" y="10749"/>
              </a:cubicBezTo>
              <a:lnTo>
                <a:pt x="1760" y="21600"/>
              </a:lnTo>
              <a:close/>
            </a:path>
          </a:pathLst>
        </a:custGeom>
        <a:noFill/>
        <a:ln w="1905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</xdr:sp>
    <xdr:clientData/>
  </xdr:twoCellAnchor>
  <xdr:twoCellAnchor>
    <xdr:from>
      <xdr:col>21</xdr:col>
      <xdr:colOff>9525</xdr:colOff>
      <xdr:row>1</xdr:row>
      <xdr:rowOff>85725</xdr:rowOff>
    </xdr:from>
    <xdr:to>
      <xdr:col>21</xdr:col>
      <xdr:colOff>9525</xdr:colOff>
      <xdr:row>2</xdr:row>
      <xdr:rowOff>142875</xdr:rowOff>
    </xdr:to>
    <xdr:sp macro="" textlink="">
      <xdr:nvSpPr>
        <xdr:cNvPr id="17472" name="Line 64"/>
        <xdr:cNvSpPr>
          <a:spLocks noChangeShapeType="1"/>
        </xdr:cNvSpPr>
      </xdr:nvSpPr>
      <xdr:spPr bwMode="auto">
        <a:xfrm flipH="1">
          <a:off x="8143875" y="247650"/>
          <a:ext cx="0" cy="21907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323850</xdr:colOff>
      <xdr:row>1</xdr:row>
      <xdr:rowOff>85725</xdr:rowOff>
    </xdr:from>
    <xdr:to>
      <xdr:col>22</xdr:col>
      <xdr:colOff>323850</xdr:colOff>
      <xdr:row>2</xdr:row>
      <xdr:rowOff>152400</xdr:rowOff>
    </xdr:to>
    <xdr:sp macro="" textlink="">
      <xdr:nvSpPr>
        <xdr:cNvPr id="17473" name="Line 65"/>
        <xdr:cNvSpPr>
          <a:spLocks noChangeShapeType="1"/>
        </xdr:cNvSpPr>
      </xdr:nvSpPr>
      <xdr:spPr bwMode="auto">
        <a:xfrm>
          <a:off x="8810625" y="247650"/>
          <a:ext cx="0" cy="22860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9525</xdr:colOff>
      <xdr:row>2</xdr:row>
      <xdr:rowOff>142875</xdr:rowOff>
    </xdr:from>
    <xdr:to>
      <xdr:col>23</xdr:col>
      <xdr:colOff>9525</xdr:colOff>
      <xdr:row>2</xdr:row>
      <xdr:rowOff>142875</xdr:rowOff>
    </xdr:to>
    <xdr:sp macro="" textlink="">
      <xdr:nvSpPr>
        <xdr:cNvPr id="17474" name="Line 66"/>
        <xdr:cNvSpPr>
          <a:spLocks noChangeShapeType="1"/>
        </xdr:cNvSpPr>
      </xdr:nvSpPr>
      <xdr:spPr bwMode="auto">
        <a:xfrm>
          <a:off x="8143875" y="466725"/>
          <a:ext cx="69532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104775</xdr:colOff>
      <xdr:row>0</xdr:row>
      <xdr:rowOff>114300</xdr:rowOff>
    </xdr:from>
    <xdr:to>
      <xdr:col>23</xdr:col>
      <xdr:colOff>390525</xdr:colOff>
      <xdr:row>0</xdr:row>
      <xdr:rowOff>114300</xdr:rowOff>
    </xdr:to>
    <xdr:sp macro="" textlink="">
      <xdr:nvSpPr>
        <xdr:cNvPr id="17475" name="Line 67"/>
        <xdr:cNvSpPr>
          <a:spLocks noChangeShapeType="1"/>
        </xdr:cNvSpPr>
      </xdr:nvSpPr>
      <xdr:spPr bwMode="auto">
        <a:xfrm>
          <a:off x="8591550" y="114300"/>
          <a:ext cx="6286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57150</xdr:colOff>
      <xdr:row>2</xdr:row>
      <xdr:rowOff>142875</xdr:rowOff>
    </xdr:from>
    <xdr:to>
      <xdr:col>23</xdr:col>
      <xdr:colOff>352425</xdr:colOff>
      <xdr:row>2</xdr:row>
      <xdr:rowOff>142875</xdr:rowOff>
    </xdr:to>
    <xdr:sp macro="" textlink="">
      <xdr:nvSpPr>
        <xdr:cNvPr id="17476" name="Line 68"/>
        <xdr:cNvSpPr>
          <a:spLocks noChangeShapeType="1"/>
        </xdr:cNvSpPr>
      </xdr:nvSpPr>
      <xdr:spPr bwMode="auto">
        <a:xfrm>
          <a:off x="8886825" y="466725"/>
          <a:ext cx="2952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247650</xdr:colOff>
      <xdr:row>0</xdr:row>
      <xdr:rowOff>85725</xdr:rowOff>
    </xdr:from>
    <xdr:to>
      <xdr:col>23</xdr:col>
      <xdr:colOff>266700</xdr:colOff>
      <xdr:row>2</xdr:row>
      <xdr:rowOff>152400</xdr:rowOff>
    </xdr:to>
    <xdr:sp macro="" textlink="">
      <xdr:nvSpPr>
        <xdr:cNvPr id="17477" name="Line 69"/>
        <xdr:cNvSpPr>
          <a:spLocks noChangeShapeType="1"/>
        </xdr:cNvSpPr>
      </xdr:nvSpPr>
      <xdr:spPr bwMode="auto">
        <a:xfrm flipH="1" flipV="1">
          <a:off x="9077325" y="85725"/>
          <a:ext cx="19050" cy="3905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23</xdr:col>
      <xdr:colOff>342900</xdr:colOff>
      <xdr:row>1</xdr:row>
      <xdr:rowOff>57150</xdr:rowOff>
    </xdr:from>
    <xdr:ext cx="152400" cy="196850"/>
    <xdr:sp macro="" textlink="">
      <xdr:nvSpPr>
        <xdr:cNvPr id="17478" name="Text Box 70"/>
        <xdr:cNvSpPr txBox="1">
          <a:spLocks noChangeArrowheads="1"/>
        </xdr:cNvSpPr>
      </xdr:nvSpPr>
      <xdr:spPr bwMode="auto">
        <a:xfrm>
          <a:off x="9172575" y="219075"/>
          <a:ext cx="1524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</a:t>
          </a:r>
        </a:p>
      </xdr:txBody>
    </xdr:sp>
    <xdr:clientData/>
  </xdr:oneCellAnchor>
  <xdr:oneCellAnchor>
    <xdr:from>
      <xdr:col>21</xdr:col>
      <xdr:colOff>180975</xdr:colOff>
      <xdr:row>3</xdr:row>
      <xdr:rowOff>28575</xdr:rowOff>
    </xdr:from>
    <xdr:ext cx="339725" cy="206375"/>
    <xdr:sp macro="" textlink="">
      <xdr:nvSpPr>
        <xdr:cNvPr id="17479" name="Text Box 71"/>
        <xdr:cNvSpPr txBox="1">
          <a:spLocks noChangeArrowheads="1"/>
        </xdr:cNvSpPr>
      </xdr:nvSpPr>
      <xdr:spPr bwMode="auto">
        <a:xfrm>
          <a:off x="8315325" y="514350"/>
          <a:ext cx="3429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FF0000"/>
              </a:solidFill>
              <a:latin typeface="Arial"/>
              <a:cs typeface="Arial"/>
            </a:rPr>
            <a:t>CAP</a:t>
          </a:r>
        </a:p>
      </xdr:txBody>
    </xdr:sp>
    <xdr:clientData/>
  </xdr:oneCellAnchor>
  <xdr:twoCellAnchor>
    <xdr:from>
      <xdr:col>21</xdr:col>
      <xdr:colOff>9525</xdr:colOff>
      <xdr:row>5</xdr:row>
      <xdr:rowOff>28575</xdr:rowOff>
    </xdr:from>
    <xdr:to>
      <xdr:col>22</xdr:col>
      <xdr:colOff>85725</xdr:colOff>
      <xdr:row>7</xdr:row>
      <xdr:rowOff>0</xdr:rowOff>
    </xdr:to>
    <xdr:sp macro="" textlink="">
      <xdr:nvSpPr>
        <xdr:cNvPr id="17480" name="Rectangle 72"/>
        <xdr:cNvSpPr>
          <a:spLocks noChangeArrowheads="1"/>
        </xdr:cNvSpPr>
      </xdr:nvSpPr>
      <xdr:spPr bwMode="auto">
        <a:xfrm>
          <a:off x="8143875" y="838200"/>
          <a:ext cx="428625" cy="2952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miter lim="800000"/>
          <a:headEnd/>
          <a:tailEnd/>
        </a:ln>
      </xdr:spPr>
    </xdr:sp>
    <xdr:clientData/>
  </xdr:twoCellAnchor>
  <xdr:twoCellAnchor>
    <xdr:from>
      <xdr:col>22</xdr:col>
      <xdr:colOff>95250</xdr:colOff>
      <xdr:row>4</xdr:row>
      <xdr:rowOff>104775</xdr:rowOff>
    </xdr:from>
    <xdr:to>
      <xdr:col>22</xdr:col>
      <xdr:colOff>171450</xdr:colOff>
      <xdr:row>7</xdr:row>
      <xdr:rowOff>114300</xdr:rowOff>
    </xdr:to>
    <xdr:sp macro="" textlink="">
      <xdr:nvSpPr>
        <xdr:cNvPr id="17481" name="Rectangle 73"/>
        <xdr:cNvSpPr>
          <a:spLocks noChangeArrowheads="1"/>
        </xdr:cNvSpPr>
      </xdr:nvSpPr>
      <xdr:spPr bwMode="auto">
        <a:xfrm>
          <a:off x="8582025" y="752475"/>
          <a:ext cx="76200" cy="4953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miter lim="800000"/>
          <a:headEnd/>
          <a:tailEnd/>
        </a:ln>
      </xdr:spPr>
    </xdr:sp>
    <xdr:clientData/>
  </xdr:twoCellAnchor>
  <xdr:twoCellAnchor>
    <xdr:from>
      <xdr:col>22</xdr:col>
      <xdr:colOff>219075</xdr:colOff>
      <xdr:row>4</xdr:row>
      <xdr:rowOff>114300</xdr:rowOff>
    </xdr:from>
    <xdr:to>
      <xdr:col>23</xdr:col>
      <xdr:colOff>361950</xdr:colOff>
      <xdr:row>4</xdr:row>
      <xdr:rowOff>114300</xdr:rowOff>
    </xdr:to>
    <xdr:sp macro="" textlink="">
      <xdr:nvSpPr>
        <xdr:cNvPr id="17482" name="Line 74"/>
        <xdr:cNvSpPr>
          <a:spLocks noChangeShapeType="1"/>
        </xdr:cNvSpPr>
      </xdr:nvSpPr>
      <xdr:spPr bwMode="auto">
        <a:xfrm>
          <a:off x="8705850" y="762000"/>
          <a:ext cx="4857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209550</xdr:colOff>
      <xdr:row>7</xdr:row>
      <xdr:rowOff>104775</xdr:rowOff>
    </xdr:from>
    <xdr:to>
      <xdr:col>23</xdr:col>
      <xdr:colOff>352425</xdr:colOff>
      <xdr:row>7</xdr:row>
      <xdr:rowOff>104775</xdr:rowOff>
    </xdr:to>
    <xdr:sp macro="" textlink="">
      <xdr:nvSpPr>
        <xdr:cNvPr id="17483" name="Line 75"/>
        <xdr:cNvSpPr>
          <a:spLocks noChangeShapeType="1"/>
        </xdr:cNvSpPr>
      </xdr:nvSpPr>
      <xdr:spPr bwMode="auto">
        <a:xfrm>
          <a:off x="8696325" y="1238250"/>
          <a:ext cx="4857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200025</xdr:colOff>
      <xdr:row>4</xdr:row>
      <xdr:rowOff>114300</xdr:rowOff>
    </xdr:from>
    <xdr:to>
      <xdr:col>23</xdr:col>
      <xdr:colOff>209550</xdr:colOff>
      <xdr:row>7</xdr:row>
      <xdr:rowOff>123825</xdr:rowOff>
    </xdr:to>
    <xdr:sp macro="" textlink="">
      <xdr:nvSpPr>
        <xdr:cNvPr id="17484" name="Line 76"/>
        <xdr:cNvSpPr>
          <a:spLocks noChangeShapeType="1"/>
        </xdr:cNvSpPr>
      </xdr:nvSpPr>
      <xdr:spPr bwMode="auto">
        <a:xfrm flipH="1" flipV="1">
          <a:off x="9029700" y="762000"/>
          <a:ext cx="9525" cy="49530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23</xdr:col>
      <xdr:colOff>266700</xdr:colOff>
      <xdr:row>5</xdr:row>
      <xdr:rowOff>104775</xdr:rowOff>
    </xdr:from>
    <xdr:ext cx="171450" cy="196850"/>
    <xdr:sp macro="" textlink="">
      <xdr:nvSpPr>
        <xdr:cNvPr id="17485" name="Text Box 77"/>
        <xdr:cNvSpPr txBox="1">
          <a:spLocks noChangeArrowheads="1"/>
        </xdr:cNvSpPr>
      </xdr:nvSpPr>
      <xdr:spPr bwMode="auto">
        <a:xfrm>
          <a:off x="9096375" y="914400"/>
          <a:ext cx="1714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G</a:t>
          </a:r>
        </a:p>
      </xdr:txBody>
    </xdr:sp>
    <xdr:clientData/>
  </xdr:oneCellAnchor>
  <xdr:twoCellAnchor>
    <xdr:from>
      <xdr:col>22</xdr:col>
      <xdr:colOff>180975</xdr:colOff>
      <xdr:row>7</xdr:row>
      <xdr:rowOff>142875</xdr:rowOff>
    </xdr:from>
    <xdr:to>
      <xdr:col>22</xdr:col>
      <xdr:colOff>180975</xdr:colOff>
      <xdr:row>9</xdr:row>
      <xdr:rowOff>66675</xdr:rowOff>
    </xdr:to>
    <xdr:sp macro="" textlink="">
      <xdr:nvSpPr>
        <xdr:cNvPr id="17486" name="Line 78"/>
        <xdr:cNvSpPr>
          <a:spLocks noChangeShapeType="1"/>
        </xdr:cNvSpPr>
      </xdr:nvSpPr>
      <xdr:spPr bwMode="auto">
        <a:xfrm>
          <a:off x="8667750" y="1276350"/>
          <a:ext cx="0" cy="2476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9525</xdr:colOff>
      <xdr:row>7</xdr:row>
      <xdr:rowOff>47625</xdr:rowOff>
    </xdr:from>
    <xdr:to>
      <xdr:col>21</xdr:col>
      <xdr:colOff>19050</xdr:colOff>
      <xdr:row>9</xdr:row>
      <xdr:rowOff>66675</xdr:rowOff>
    </xdr:to>
    <xdr:sp macro="" textlink="">
      <xdr:nvSpPr>
        <xdr:cNvPr id="17487" name="Line 79"/>
        <xdr:cNvSpPr>
          <a:spLocks noChangeShapeType="1"/>
        </xdr:cNvSpPr>
      </xdr:nvSpPr>
      <xdr:spPr bwMode="auto">
        <a:xfrm flipH="1">
          <a:off x="8143875" y="1181100"/>
          <a:ext cx="9525" cy="34290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19050</xdr:colOff>
      <xdr:row>9</xdr:row>
      <xdr:rowOff>9525</xdr:rowOff>
    </xdr:from>
    <xdr:to>
      <xdr:col>22</xdr:col>
      <xdr:colOff>171450</xdr:colOff>
      <xdr:row>9</xdr:row>
      <xdr:rowOff>19050</xdr:rowOff>
    </xdr:to>
    <xdr:sp macro="" textlink="">
      <xdr:nvSpPr>
        <xdr:cNvPr id="17488" name="Line 80"/>
        <xdr:cNvSpPr>
          <a:spLocks noChangeShapeType="1"/>
        </xdr:cNvSpPr>
      </xdr:nvSpPr>
      <xdr:spPr bwMode="auto">
        <a:xfrm flipH="1">
          <a:off x="8153400" y="1466850"/>
          <a:ext cx="504825" cy="95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21</xdr:col>
      <xdr:colOff>219075</xdr:colOff>
      <xdr:row>7</xdr:row>
      <xdr:rowOff>152400</xdr:rowOff>
    </xdr:from>
    <xdr:ext cx="149225" cy="193675"/>
    <xdr:sp macro="" textlink="">
      <xdr:nvSpPr>
        <xdr:cNvPr id="17489" name="Text Box 81"/>
        <xdr:cNvSpPr txBox="1">
          <a:spLocks noChangeArrowheads="1"/>
        </xdr:cNvSpPr>
      </xdr:nvSpPr>
      <xdr:spPr bwMode="auto">
        <a:xfrm>
          <a:off x="8353425" y="1285875"/>
          <a:ext cx="1524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F</a:t>
          </a:r>
        </a:p>
      </xdr:txBody>
    </xdr:sp>
    <xdr:clientData/>
  </xdr:oneCellAnchor>
  <xdr:twoCellAnchor editAs="oneCell">
    <xdr:from>
      <xdr:col>20</xdr:col>
      <xdr:colOff>419100</xdr:colOff>
      <xdr:row>9</xdr:row>
      <xdr:rowOff>66675</xdr:rowOff>
    </xdr:from>
    <xdr:to>
      <xdr:col>23</xdr:col>
      <xdr:colOff>114300</xdr:colOff>
      <xdr:row>11</xdr:row>
      <xdr:rowOff>47625</xdr:rowOff>
    </xdr:to>
    <xdr:sp macro="" textlink="">
      <xdr:nvSpPr>
        <xdr:cNvPr id="17490" name="Text Box 82"/>
        <xdr:cNvSpPr txBox="1">
          <a:spLocks noChangeArrowheads="1"/>
        </xdr:cNvSpPr>
      </xdr:nvSpPr>
      <xdr:spPr bwMode="auto">
        <a:xfrm>
          <a:off x="8134350" y="1524000"/>
          <a:ext cx="8096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FF0000"/>
              </a:solidFill>
              <a:latin typeface="Arial"/>
              <a:cs typeface="Arial"/>
            </a:rPr>
            <a:t>LAP JOINT</a:t>
          </a:r>
        </a:p>
        <a:p>
          <a:pPr algn="l" rtl="0">
            <a:defRPr sz="1000"/>
          </a:pPr>
          <a:r>
            <a:rPr lang="en-US" sz="1000" b="1" i="0" u="none" strike="noStrike" baseline="0">
              <a:solidFill>
                <a:srgbClr val="FF0000"/>
              </a:solidFill>
              <a:latin typeface="Arial"/>
              <a:cs typeface="Arial"/>
            </a:rPr>
            <a:t>STUB END</a:t>
          </a:r>
          <a:endParaRPr lang="en-US" sz="10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14</xdr:col>
      <xdr:colOff>133350</xdr:colOff>
      <xdr:row>7</xdr:row>
      <xdr:rowOff>123825</xdr:rowOff>
    </xdr:from>
    <xdr:to>
      <xdr:col>15</xdr:col>
      <xdr:colOff>66675</xdr:colOff>
      <xdr:row>7</xdr:row>
      <xdr:rowOff>123825</xdr:rowOff>
    </xdr:to>
    <xdr:sp macro="" textlink="">
      <xdr:nvSpPr>
        <xdr:cNvPr id="17491" name="Line 83"/>
        <xdr:cNvSpPr>
          <a:spLocks noChangeShapeType="1"/>
        </xdr:cNvSpPr>
      </xdr:nvSpPr>
      <xdr:spPr bwMode="auto">
        <a:xfrm flipH="1">
          <a:off x="5295900" y="1257300"/>
          <a:ext cx="3238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</xdr:row>
      <xdr:rowOff>0</xdr:rowOff>
    </xdr:from>
    <xdr:to>
      <xdr:col>2</xdr:col>
      <xdr:colOff>0</xdr:colOff>
      <xdr:row>5</xdr:row>
      <xdr:rowOff>28575</xdr:rowOff>
    </xdr:to>
    <xdr:sp macro="" textlink="">
      <xdr:nvSpPr>
        <xdr:cNvPr id="18433" name="Line 1"/>
        <xdr:cNvSpPr>
          <a:spLocks noChangeShapeType="1"/>
        </xdr:cNvSpPr>
      </xdr:nvSpPr>
      <xdr:spPr bwMode="auto">
        <a:xfrm>
          <a:off x="847725" y="485775"/>
          <a:ext cx="0" cy="3524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3</xdr:row>
      <xdr:rowOff>0</xdr:rowOff>
    </xdr:from>
    <xdr:to>
      <xdr:col>4</xdr:col>
      <xdr:colOff>0</xdr:colOff>
      <xdr:row>5</xdr:row>
      <xdr:rowOff>28575</xdr:rowOff>
    </xdr:to>
    <xdr:sp macro="" textlink="">
      <xdr:nvSpPr>
        <xdr:cNvPr id="18434" name="Line 2"/>
        <xdr:cNvSpPr>
          <a:spLocks noChangeShapeType="1"/>
        </xdr:cNvSpPr>
      </xdr:nvSpPr>
      <xdr:spPr bwMode="auto">
        <a:xfrm>
          <a:off x="1581150" y="485775"/>
          <a:ext cx="0" cy="3524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142875</xdr:colOff>
      <xdr:row>2</xdr:row>
      <xdr:rowOff>9525</xdr:rowOff>
    </xdr:from>
    <xdr:to>
      <xdr:col>2</xdr:col>
      <xdr:colOff>142875</xdr:colOff>
      <xdr:row>2</xdr:row>
      <xdr:rowOff>152400</xdr:rowOff>
    </xdr:to>
    <xdr:sp macro="" textlink="">
      <xdr:nvSpPr>
        <xdr:cNvPr id="18435" name="Line 3"/>
        <xdr:cNvSpPr>
          <a:spLocks noChangeShapeType="1"/>
        </xdr:cNvSpPr>
      </xdr:nvSpPr>
      <xdr:spPr bwMode="auto">
        <a:xfrm>
          <a:off x="990600" y="333375"/>
          <a:ext cx="0" cy="14287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200025</xdr:colOff>
      <xdr:row>2</xdr:row>
      <xdr:rowOff>0</xdr:rowOff>
    </xdr:from>
    <xdr:to>
      <xdr:col>3</xdr:col>
      <xdr:colOff>200025</xdr:colOff>
      <xdr:row>3</xdr:row>
      <xdr:rowOff>0</xdr:rowOff>
    </xdr:to>
    <xdr:sp macro="" textlink="">
      <xdr:nvSpPr>
        <xdr:cNvPr id="18436" name="Line 4"/>
        <xdr:cNvSpPr>
          <a:spLocks noChangeShapeType="1"/>
        </xdr:cNvSpPr>
      </xdr:nvSpPr>
      <xdr:spPr bwMode="auto">
        <a:xfrm>
          <a:off x="1419225" y="323850"/>
          <a:ext cx="0" cy="1619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152400</xdr:colOff>
      <xdr:row>2</xdr:row>
      <xdr:rowOff>0</xdr:rowOff>
    </xdr:from>
    <xdr:to>
      <xdr:col>3</xdr:col>
      <xdr:colOff>200025</xdr:colOff>
      <xdr:row>2</xdr:row>
      <xdr:rowOff>0</xdr:rowOff>
    </xdr:to>
    <xdr:sp macro="" textlink="">
      <xdr:nvSpPr>
        <xdr:cNvPr id="18437" name="Line 5"/>
        <xdr:cNvSpPr>
          <a:spLocks noChangeShapeType="1"/>
        </xdr:cNvSpPr>
      </xdr:nvSpPr>
      <xdr:spPr bwMode="auto">
        <a:xfrm>
          <a:off x="1000125" y="323850"/>
          <a:ext cx="419100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</xdr:row>
      <xdr:rowOff>0</xdr:rowOff>
    </xdr:from>
    <xdr:to>
      <xdr:col>2</xdr:col>
      <xdr:colOff>142875</xdr:colOff>
      <xdr:row>3</xdr:row>
      <xdr:rowOff>0</xdr:rowOff>
    </xdr:to>
    <xdr:sp macro="" textlink="">
      <xdr:nvSpPr>
        <xdr:cNvPr id="18438" name="Line 6"/>
        <xdr:cNvSpPr>
          <a:spLocks noChangeShapeType="1"/>
        </xdr:cNvSpPr>
      </xdr:nvSpPr>
      <xdr:spPr bwMode="auto">
        <a:xfrm flipH="1">
          <a:off x="847725" y="485775"/>
          <a:ext cx="14287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200025</xdr:colOff>
      <xdr:row>3</xdr:row>
      <xdr:rowOff>9525</xdr:rowOff>
    </xdr:from>
    <xdr:to>
      <xdr:col>3</xdr:col>
      <xdr:colOff>352425</xdr:colOff>
      <xdr:row>3</xdr:row>
      <xdr:rowOff>9525</xdr:rowOff>
    </xdr:to>
    <xdr:sp macro="" textlink="">
      <xdr:nvSpPr>
        <xdr:cNvPr id="18439" name="Line 7"/>
        <xdr:cNvSpPr>
          <a:spLocks noChangeShapeType="1"/>
        </xdr:cNvSpPr>
      </xdr:nvSpPr>
      <xdr:spPr bwMode="auto">
        <a:xfrm>
          <a:off x="1419225" y="495300"/>
          <a:ext cx="152400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9525</xdr:colOff>
      <xdr:row>5</xdr:row>
      <xdr:rowOff>19050</xdr:rowOff>
    </xdr:from>
    <xdr:to>
      <xdr:col>3</xdr:col>
      <xdr:colOff>361950</xdr:colOff>
      <xdr:row>5</xdr:row>
      <xdr:rowOff>19050</xdr:rowOff>
    </xdr:to>
    <xdr:sp macro="" textlink="">
      <xdr:nvSpPr>
        <xdr:cNvPr id="18440" name="Line 8"/>
        <xdr:cNvSpPr>
          <a:spLocks noChangeShapeType="1"/>
        </xdr:cNvSpPr>
      </xdr:nvSpPr>
      <xdr:spPr bwMode="auto">
        <a:xfrm>
          <a:off x="857250" y="828675"/>
          <a:ext cx="723900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257175</xdr:colOff>
      <xdr:row>4</xdr:row>
      <xdr:rowOff>9525</xdr:rowOff>
    </xdr:from>
    <xdr:to>
      <xdr:col>5</xdr:col>
      <xdr:colOff>38100</xdr:colOff>
      <xdr:row>4</xdr:row>
      <xdr:rowOff>9525</xdr:rowOff>
    </xdr:to>
    <xdr:sp macro="" textlink="">
      <xdr:nvSpPr>
        <xdr:cNvPr id="18441" name="Line 9"/>
        <xdr:cNvSpPr>
          <a:spLocks noChangeShapeType="1"/>
        </xdr:cNvSpPr>
      </xdr:nvSpPr>
      <xdr:spPr bwMode="auto">
        <a:xfrm>
          <a:off x="695325" y="657225"/>
          <a:ext cx="12954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266700</xdr:colOff>
      <xdr:row>2</xdr:row>
      <xdr:rowOff>0</xdr:rowOff>
    </xdr:from>
    <xdr:to>
      <xdr:col>5</xdr:col>
      <xdr:colOff>76200</xdr:colOff>
      <xdr:row>2</xdr:row>
      <xdr:rowOff>0</xdr:rowOff>
    </xdr:to>
    <xdr:sp macro="" textlink="">
      <xdr:nvSpPr>
        <xdr:cNvPr id="18442" name="Line 10"/>
        <xdr:cNvSpPr>
          <a:spLocks noChangeShapeType="1"/>
        </xdr:cNvSpPr>
      </xdr:nvSpPr>
      <xdr:spPr bwMode="auto">
        <a:xfrm>
          <a:off x="1485900" y="323850"/>
          <a:ext cx="54292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152400</xdr:colOff>
      <xdr:row>3</xdr:row>
      <xdr:rowOff>0</xdr:rowOff>
    </xdr:from>
    <xdr:to>
      <xdr:col>3</xdr:col>
      <xdr:colOff>0</xdr:colOff>
      <xdr:row>3</xdr:row>
      <xdr:rowOff>76200</xdr:rowOff>
    </xdr:to>
    <xdr:sp macro="" textlink="">
      <xdr:nvSpPr>
        <xdr:cNvPr id="18443" name="Line 11"/>
        <xdr:cNvSpPr>
          <a:spLocks noChangeShapeType="1"/>
        </xdr:cNvSpPr>
      </xdr:nvSpPr>
      <xdr:spPr bwMode="auto">
        <a:xfrm>
          <a:off x="1000125" y="485775"/>
          <a:ext cx="219075" cy="762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333375</xdr:colOff>
      <xdr:row>3</xdr:row>
      <xdr:rowOff>0</xdr:rowOff>
    </xdr:from>
    <xdr:to>
      <xdr:col>3</xdr:col>
      <xdr:colOff>209550</xdr:colOff>
      <xdr:row>3</xdr:row>
      <xdr:rowOff>66675</xdr:rowOff>
    </xdr:to>
    <xdr:sp macro="" textlink="">
      <xdr:nvSpPr>
        <xdr:cNvPr id="18444" name="Line 12"/>
        <xdr:cNvSpPr>
          <a:spLocks noChangeShapeType="1"/>
        </xdr:cNvSpPr>
      </xdr:nvSpPr>
      <xdr:spPr bwMode="auto">
        <a:xfrm flipV="1">
          <a:off x="1181100" y="485775"/>
          <a:ext cx="247650" cy="666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</xdr:row>
      <xdr:rowOff>0</xdr:rowOff>
    </xdr:from>
    <xdr:to>
      <xdr:col>3</xdr:col>
      <xdr:colOff>0</xdr:colOff>
      <xdr:row>7</xdr:row>
      <xdr:rowOff>66675</xdr:rowOff>
    </xdr:to>
    <xdr:sp macro="" textlink="">
      <xdr:nvSpPr>
        <xdr:cNvPr id="18445" name="Line 13"/>
        <xdr:cNvSpPr>
          <a:spLocks noChangeShapeType="1"/>
        </xdr:cNvSpPr>
      </xdr:nvSpPr>
      <xdr:spPr bwMode="auto">
        <a:xfrm>
          <a:off x="1219200" y="161925"/>
          <a:ext cx="0" cy="10382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5</xdr:row>
      <xdr:rowOff>76200</xdr:rowOff>
    </xdr:from>
    <xdr:to>
      <xdr:col>2</xdr:col>
      <xdr:colOff>0</xdr:colOff>
      <xdr:row>7</xdr:row>
      <xdr:rowOff>28575</xdr:rowOff>
    </xdr:to>
    <xdr:sp macro="" textlink="">
      <xdr:nvSpPr>
        <xdr:cNvPr id="18446" name="Line 14"/>
        <xdr:cNvSpPr>
          <a:spLocks noChangeShapeType="1"/>
        </xdr:cNvSpPr>
      </xdr:nvSpPr>
      <xdr:spPr bwMode="auto">
        <a:xfrm>
          <a:off x="847725" y="885825"/>
          <a:ext cx="0" cy="2762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9525</xdr:colOff>
      <xdr:row>5</xdr:row>
      <xdr:rowOff>57150</xdr:rowOff>
    </xdr:from>
    <xdr:to>
      <xdr:col>4</xdr:col>
      <xdr:colOff>9525</xdr:colOff>
      <xdr:row>7</xdr:row>
      <xdr:rowOff>9525</xdr:rowOff>
    </xdr:to>
    <xdr:sp macro="" textlink="">
      <xdr:nvSpPr>
        <xdr:cNvPr id="18447" name="Line 15"/>
        <xdr:cNvSpPr>
          <a:spLocks noChangeShapeType="1"/>
        </xdr:cNvSpPr>
      </xdr:nvSpPr>
      <xdr:spPr bwMode="auto">
        <a:xfrm>
          <a:off x="1590675" y="866775"/>
          <a:ext cx="0" cy="2762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400050</xdr:colOff>
      <xdr:row>6</xdr:row>
      <xdr:rowOff>152400</xdr:rowOff>
    </xdr:from>
    <xdr:to>
      <xdr:col>3</xdr:col>
      <xdr:colOff>9525</xdr:colOff>
      <xdr:row>6</xdr:row>
      <xdr:rowOff>152400</xdr:rowOff>
    </xdr:to>
    <xdr:sp macro="" textlink="">
      <xdr:nvSpPr>
        <xdr:cNvPr id="18448" name="Line 16"/>
        <xdr:cNvSpPr>
          <a:spLocks noChangeShapeType="1"/>
        </xdr:cNvSpPr>
      </xdr:nvSpPr>
      <xdr:spPr bwMode="auto">
        <a:xfrm>
          <a:off x="838200" y="1123950"/>
          <a:ext cx="3905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6</xdr:row>
      <xdr:rowOff>152400</xdr:rowOff>
    </xdr:from>
    <xdr:to>
      <xdr:col>4</xdr:col>
      <xdr:colOff>0</xdr:colOff>
      <xdr:row>6</xdr:row>
      <xdr:rowOff>152400</xdr:rowOff>
    </xdr:to>
    <xdr:sp macro="" textlink="">
      <xdr:nvSpPr>
        <xdr:cNvPr id="18449" name="Line 17"/>
        <xdr:cNvSpPr>
          <a:spLocks noChangeShapeType="1"/>
        </xdr:cNvSpPr>
      </xdr:nvSpPr>
      <xdr:spPr bwMode="auto">
        <a:xfrm>
          <a:off x="1219200" y="1123950"/>
          <a:ext cx="3619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</xdr:col>
      <xdr:colOff>76200</xdr:colOff>
      <xdr:row>5</xdr:row>
      <xdr:rowOff>123825</xdr:rowOff>
    </xdr:from>
    <xdr:ext cx="209550" cy="238125"/>
    <xdr:sp macro="" textlink="">
      <xdr:nvSpPr>
        <xdr:cNvPr id="18450" name="Text Box 18"/>
        <xdr:cNvSpPr txBox="1">
          <a:spLocks noChangeArrowheads="1"/>
        </xdr:cNvSpPr>
      </xdr:nvSpPr>
      <xdr:spPr bwMode="auto">
        <a:xfrm>
          <a:off x="923925" y="933450"/>
          <a:ext cx="2095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800080"/>
              </a:solidFill>
              <a:latin typeface="Arial"/>
              <a:cs typeface="Arial"/>
            </a:rPr>
            <a:t>C</a:t>
          </a:r>
        </a:p>
      </xdr:txBody>
    </xdr:sp>
    <xdr:clientData/>
  </xdr:oneCellAnchor>
  <xdr:oneCellAnchor>
    <xdr:from>
      <xdr:col>3</xdr:col>
      <xdr:colOff>104775</xdr:colOff>
      <xdr:row>5</xdr:row>
      <xdr:rowOff>104775</xdr:rowOff>
    </xdr:from>
    <xdr:ext cx="209550" cy="238125"/>
    <xdr:sp macro="" textlink="">
      <xdr:nvSpPr>
        <xdr:cNvPr id="18451" name="Text Box 19"/>
        <xdr:cNvSpPr txBox="1">
          <a:spLocks noChangeArrowheads="1"/>
        </xdr:cNvSpPr>
      </xdr:nvSpPr>
      <xdr:spPr bwMode="auto">
        <a:xfrm>
          <a:off x="1323975" y="914400"/>
          <a:ext cx="2095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800080"/>
              </a:solidFill>
              <a:latin typeface="Arial"/>
              <a:cs typeface="Arial"/>
            </a:rPr>
            <a:t>C</a:t>
          </a:r>
        </a:p>
      </xdr:txBody>
    </xdr:sp>
    <xdr:clientData/>
  </xdr:oneCellAnchor>
  <xdr:twoCellAnchor>
    <xdr:from>
      <xdr:col>4</xdr:col>
      <xdr:colOff>381000</xdr:colOff>
      <xdr:row>2</xdr:row>
      <xdr:rowOff>9525</xdr:rowOff>
    </xdr:from>
    <xdr:to>
      <xdr:col>4</xdr:col>
      <xdr:colOff>381000</xdr:colOff>
      <xdr:row>3</xdr:row>
      <xdr:rowOff>152400</xdr:rowOff>
    </xdr:to>
    <xdr:sp macro="" textlink="">
      <xdr:nvSpPr>
        <xdr:cNvPr id="18452" name="Line 20"/>
        <xdr:cNvSpPr>
          <a:spLocks noChangeShapeType="1"/>
        </xdr:cNvSpPr>
      </xdr:nvSpPr>
      <xdr:spPr bwMode="auto">
        <a:xfrm>
          <a:off x="1952625" y="333375"/>
          <a:ext cx="0" cy="3048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28575</xdr:colOff>
      <xdr:row>2</xdr:row>
      <xdr:rowOff>76200</xdr:rowOff>
    </xdr:from>
    <xdr:to>
      <xdr:col>5</xdr:col>
      <xdr:colOff>219075</xdr:colOff>
      <xdr:row>3</xdr:row>
      <xdr:rowOff>142875</xdr:rowOff>
    </xdr:to>
    <xdr:sp macro="" textlink="">
      <xdr:nvSpPr>
        <xdr:cNvPr id="18453" name="Text Box 21"/>
        <xdr:cNvSpPr txBox="1">
          <a:spLocks noChangeArrowheads="1"/>
        </xdr:cNvSpPr>
      </xdr:nvSpPr>
      <xdr:spPr bwMode="auto">
        <a:xfrm>
          <a:off x="1981200" y="400050"/>
          <a:ext cx="1905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800080"/>
              </a:solidFill>
              <a:latin typeface="Arial"/>
              <a:cs typeface="Arial"/>
            </a:rPr>
            <a:t>C</a:t>
          </a:r>
          <a:endParaRPr lang="en-US" sz="10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1</xdr:col>
      <xdr:colOff>371475</xdr:colOff>
      <xdr:row>7</xdr:row>
      <xdr:rowOff>76200</xdr:rowOff>
    </xdr:from>
    <xdr:ext cx="819150" cy="200025"/>
    <xdr:sp macro="" textlink="">
      <xdr:nvSpPr>
        <xdr:cNvPr id="18454" name="Text Box 22"/>
        <xdr:cNvSpPr txBox="1">
          <a:spLocks noChangeArrowheads="1"/>
        </xdr:cNvSpPr>
      </xdr:nvSpPr>
      <xdr:spPr bwMode="auto">
        <a:xfrm>
          <a:off x="809625" y="1209675"/>
          <a:ext cx="8191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1" i="0" u="sng" strike="noStrike" baseline="0">
              <a:solidFill>
                <a:srgbClr val="FF0000"/>
              </a:solidFill>
              <a:latin typeface="Arial"/>
              <a:cs typeface="Arial"/>
            </a:rPr>
            <a:t>Straight Tee</a:t>
          </a:r>
        </a:p>
      </xdr:txBody>
    </xdr:sp>
    <xdr:clientData/>
  </xdr:oneCellAnchor>
  <xdr:twoCellAnchor>
    <xdr:from>
      <xdr:col>6</xdr:col>
      <xdr:colOff>9525</xdr:colOff>
      <xdr:row>5</xdr:row>
      <xdr:rowOff>9525</xdr:rowOff>
    </xdr:from>
    <xdr:to>
      <xdr:col>8</xdr:col>
      <xdr:colOff>0</xdr:colOff>
      <xdr:row>5</xdr:row>
      <xdr:rowOff>9525</xdr:rowOff>
    </xdr:to>
    <xdr:sp macro="" textlink="">
      <xdr:nvSpPr>
        <xdr:cNvPr id="18455" name="Line 23"/>
        <xdr:cNvSpPr>
          <a:spLocks noChangeShapeType="1"/>
        </xdr:cNvSpPr>
      </xdr:nvSpPr>
      <xdr:spPr bwMode="auto">
        <a:xfrm>
          <a:off x="2333625" y="819150"/>
          <a:ext cx="67627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323850</xdr:colOff>
      <xdr:row>3</xdr:row>
      <xdr:rowOff>9525</xdr:rowOff>
    </xdr:from>
    <xdr:to>
      <xdr:col>7</xdr:col>
      <xdr:colOff>323850</xdr:colOff>
      <xdr:row>5</xdr:row>
      <xdr:rowOff>38100</xdr:rowOff>
    </xdr:to>
    <xdr:sp macro="" textlink="">
      <xdr:nvSpPr>
        <xdr:cNvPr id="18456" name="Line 24"/>
        <xdr:cNvSpPr>
          <a:spLocks noChangeShapeType="1"/>
        </xdr:cNvSpPr>
      </xdr:nvSpPr>
      <xdr:spPr bwMode="auto">
        <a:xfrm>
          <a:off x="3000375" y="495300"/>
          <a:ext cx="0" cy="3524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3</xdr:row>
      <xdr:rowOff>0</xdr:rowOff>
    </xdr:from>
    <xdr:to>
      <xdr:col>6</xdr:col>
      <xdr:colOff>0</xdr:colOff>
      <xdr:row>5</xdr:row>
      <xdr:rowOff>28575</xdr:rowOff>
    </xdr:to>
    <xdr:sp macro="" textlink="">
      <xdr:nvSpPr>
        <xdr:cNvPr id="18457" name="Line 25"/>
        <xdr:cNvSpPr>
          <a:spLocks noChangeShapeType="1"/>
        </xdr:cNvSpPr>
      </xdr:nvSpPr>
      <xdr:spPr bwMode="auto">
        <a:xfrm>
          <a:off x="2324100" y="485775"/>
          <a:ext cx="0" cy="3524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228600</xdr:colOff>
      <xdr:row>2</xdr:row>
      <xdr:rowOff>0</xdr:rowOff>
    </xdr:from>
    <xdr:to>
      <xdr:col>7</xdr:col>
      <xdr:colOff>104775</xdr:colOff>
      <xdr:row>2</xdr:row>
      <xdr:rowOff>0</xdr:rowOff>
    </xdr:to>
    <xdr:sp macro="" textlink="">
      <xdr:nvSpPr>
        <xdr:cNvPr id="18458" name="Line 26"/>
        <xdr:cNvSpPr>
          <a:spLocks noChangeShapeType="1"/>
        </xdr:cNvSpPr>
      </xdr:nvSpPr>
      <xdr:spPr bwMode="auto">
        <a:xfrm>
          <a:off x="2552700" y="323850"/>
          <a:ext cx="228600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219075</xdr:colOff>
      <xdr:row>2</xdr:row>
      <xdr:rowOff>0</xdr:rowOff>
    </xdr:from>
    <xdr:to>
      <xdr:col>6</xdr:col>
      <xdr:colOff>219075</xdr:colOff>
      <xdr:row>3</xdr:row>
      <xdr:rowOff>0</xdr:rowOff>
    </xdr:to>
    <xdr:sp macro="" textlink="">
      <xdr:nvSpPr>
        <xdr:cNvPr id="18459" name="Line 27"/>
        <xdr:cNvSpPr>
          <a:spLocks noChangeShapeType="1"/>
        </xdr:cNvSpPr>
      </xdr:nvSpPr>
      <xdr:spPr bwMode="auto">
        <a:xfrm>
          <a:off x="2543175" y="323850"/>
          <a:ext cx="0" cy="1619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114300</xdr:colOff>
      <xdr:row>2</xdr:row>
      <xdr:rowOff>0</xdr:rowOff>
    </xdr:from>
    <xdr:to>
      <xdr:col>7</xdr:col>
      <xdr:colOff>114300</xdr:colOff>
      <xdr:row>3</xdr:row>
      <xdr:rowOff>0</xdr:rowOff>
    </xdr:to>
    <xdr:sp macro="" textlink="">
      <xdr:nvSpPr>
        <xdr:cNvPr id="18460" name="Line 28"/>
        <xdr:cNvSpPr>
          <a:spLocks noChangeShapeType="1"/>
        </xdr:cNvSpPr>
      </xdr:nvSpPr>
      <xdr:spPr bwMode="auto">
        <a:xfrm>
          <a:off x="2790825" y="323850"/>
          <a:ext cx="0" cy="1619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3</xdr:row>
      <xdr:rowOff>9525</xdr:rowOff>
    </xdr:from>
    <xdr:to>
      <xdr:col>6</xdr:col>
      <xdr:colOff>219075</xdr:colOff>
      <xdr:row>3</xdr:row>
      <xdr:rowOff>9525</xdr:rowOff>
    </xdr:to>
    <xdr:sp macro="" textlink="">
      <xdr:nvSpPr>
        <xdr:cNvPr id="18461" name="Line 29"/>
        <xdr:cNvSpPr>
          <a:spLocks noChangeShapeType="1"/>
        </xdr:cNvSpPr>
      </xdr:nvSpPr>
      <xdr:spPr bwMode="auto">
        <a:xfrm flipH="1">
          <a:off x="2324100" y="495300"/>
          <a:ext cx="21907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114300</xdr:colOff>
      <xdr:row>3</xdr:row>
      <xdr:rowOff>9525</xdr:rowOff>
    </xdr:from>
    <xdr:to>
      <xdr:col>7</xdr:col>
      <xdr:colOff>304800</xdr:colOff>
      <xdr:row>3</xdr:row>
      <xdr:rowOff>9525</xdr:rowOff>
    </xdr:to>
    <xdr:sp macro="" textlink="">
      <xdr:nvSpPr>
        <xdr:cNvPr id="18462" name="Line 30"/>
        <xdr:cNvSpPr>
          <a:spLocks noChangeShapeType="1"/>
        </xdr:cNvSpPr>
      </xdr:nvSpPr>
      <xdr:spPr bwMode="auto">
        <a:xfrm>
          <a:off x="2790825" y="495300"/>
          <a:ext cx="190500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352425</xdr:colOff>
      <xdr:row>1</xdr:row>
      <xdr:rowOff>66675</xdr:rowOff>
    </xdr:from>
    <xdr:to>
      <xdr:col>6</xdr:col>
      <xdr:colOff>352425</xdr:colOff>
      <xdr:row>7</xdr:row>
      <xdr:rowOff>133350</xdr:rowOff>
    </xdr:to>
    <xdr:sp macro="" textlink="">
      <xdr:nvSpPr>
        <xdr:cNvPr id="18463" name="Line 31"/>
        <xdr:cNvSpPr>
          <a:spLocks noChangeShapeType="1"/>
        </xdr:cNvSpPr>
      </xdr:nvSpPr>
      <xdr:spPr bwMode="auto">
        <a:xfrm>
          <a:off x="2676525" y="228600"/>
          <a:ext cx="0" cy="10382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314325</xdr:colOff>
      <xdr:row>4</xdr:row>
      <xdr:rowOff>9525</xdr:rowOff>
    </xdr:from>
    <xdr:to>
      <xdr:col>9</xdr:col>
      <xdr:colOff>180975</xdr:colOff>
      <xdr:row>4</xdr:row>
      <xdr:rowOff>9525</xdr:rowOff>
    </xdr:to>
    <xdr:sp macro="" textlink="">
      <xdr:nvSpPr>
        <xdr:cNvPr id="18464" name="Line 32"/>
        <xdr:cNvSpPr>
          <a:spLocks noChangeShapeType="1"/>
        </xdr:cNvSpPr>
      </xdr:nvSpPr>
      <xdr:spPr bwMode="auto">
        <a:xfrm>
          <a:off x="2266950" y="657225"/>
          <a:ext cx="12954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209550</xdr:colOff>
      <xdr:row>2</xdr:row>
      <xdr:rowOff>9525</xdr:rowOff>
    </xdr:from>
    <xdr:to>
      <xdr:col>9</xdr:col>
      <xdr:colOff>76200</xdr:colOff>
      <xdr:row>2</xdr:row>
      <xdr:rowOff>9525</xdr:rowOff>
    </xdr:to>
    <xdr:sp macro="" textlink="">
      <xdr:nvSpPr>
        <xdr:cNvPr id="18465" name="Line 33"/>
        <xdr:cNvSpPr>
          <a:spLocks noChangeShapeType="1"/>
        </xdr:cNvSpPr>
      </xdr:nvSpPr>
      <xdr:spPr bwMode="auto">
        <a:xfrm>
          <a:off x="2886075" y="333375"/>
          <a:ext cx="5715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352425</xdr:colOff>
      <xdr:row>2</xdr:row>
      <xdr:rowOff>19050</xdr:rowOff>
    </xdr:from>
    <xdr:to>
      <xdr:col>8</xdr:col>
      <xdr:colOff>352425</xdr:colOff>
      <xdr:row>4</xdr:row>
      <xdr:rowOff>0</xdr:rowOff>
    </xdr:to>
    <xdr:sp macro="" textlink="">
      <xdr:nvSpPr>
        <xdr:cNvPr id="18466" name="Line 34"/>
        <xdr:cNvSpPr>
          <a:spLocks noChangeShapeType="1"/>
        </xdr:cNvSpPr>
      </xdr:nvSpPr>
      <xdr:spPr bwMode="auto">
        <a:xfrm>
          <a:off x="3362325" y="342900"/>
          <a:ext cx="0" cy="3048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352425</xdr:colOff>
      <xdr:row>5</xdr:row>
      <xdr:rowOff>66675</xdr:rowOff>
    </xdr:from>
    <xdr:to>
      <xdr:col>5</xdr:col>
      <xdr:colOff>352425</xdr:colOff>
      <xdr:row>7</xdr:row>
      <xdr:rowOff>19050</xdr:rowOff>
    </xdr:to>
    <xdr:sp macro="" textlink="">
      <xdr:nvSpPr>
        <xdr:cNvPr id="18467" name="Line 35"/>
        <xdr:cNvSpPr>
          <a:spLocks noChangeShapeType="1"/>
        </xdr:cNvSpPr>
      </xdr:nvSpPr>
      <xdr:spPr bwMode="auto">
        <a:xfrm>
          <a:off x="2305050" y="876300"/>
          <a:ext cx="0" cy="2762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323850</xdr:colOff>
      <xdr:row>5</xdr:row>
      <xdr:rowOff>76200</xdr:rowOff>
    </xdr:from>
    <xdr:to>
      <xdr:col>7</xdr:col>
      <xdr:colOff>323850</xdr:colOff>
      <xdr:row>7</xdr:row>
      <xdr:rowOff>28575</xdr:rowOff>
    </xdr:to>
    <xdr:sp macro="" textlink="">
      <xdr:nvSpPr>
        <xdr:cNvPr id="18468" name="Line 36"/>
        <xdr:cNvSpPr>
          <a:spLocks noChangeShapeType="1"/>
        </xdr:cNvSpPr>
      </xdr:nvSpPr>
      <xdr:spPr bwMode="auto">
        <a:xfrm>
          <a:off x="3000375" y="885825"/>
          <a:ext cx="0" cy="2762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352425</xdr:colOff>
      <xdr:row>6</xdr:row>
      <xdr:rowOff>152400</xdr:rowOff>
    </xdr:from>
    <xdr:to>
      <xdr:col>6</xdr:col>
      <xdr:colOff>342900</xdr:colOff>
      <xdr:row>6</xdr:row>
      <xdr:rowOff>152400</xdr:rowOff>
    </xdr:to>
    <xdr:sp macro="" textlink="">
      <xdr:nvSpPr>
        <xdr:cNvPr id="18469" name="Line 37"/>
        <xdr:cNvSpPr>
          <a:spLocks noChangeShapeType="1"/>
        </xdr:cNvSpPr>
      </xdr:nvSpPr>
      <xdr:spPr bwMode="auto">
        <a:xfrm>
          <a:off x="2305050" y="1123950"/>
          <a:ext cx="3619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152400</xdr:rowOff>
    </xdr:from>
    <xdr:to>
      <xdr:col>7</xdr:col>
      <xdr:colOff>323850</xdr:colOff>
      <xdr:row>6</xdr:row>
      <xdr:rowOff>152400</xdr:rowOff>
    </xdr:to>
    <xdr:sp macro="" textlink="">
      <xdr:nvSpPr>
        <xdr:cNvPr id="18470" name="Line 38"/>
        <xdr:cNvSpPr>
          <a:spLocks noChangeShapeType="1"/>
        </xdr:cNvSpPr>
      </xdr:nvSpPr>
      <xdr:spPr bwMode="auto">
        <a:xfrm>
          <a:off x="2676525" y="1123950"/>
          <a:ext cx="3238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6</xdr:col>
      <xdr:colOff>66675</xdr:colOff>
      <xdr:row>5</xdr:row>
      <xdr:rowOff>123825</xdr:rowOff>
    </xdr:from>
    <xdr:ext cx="209550" cy="238125"/>
    <xdr:sp macro="" textlink="">
      <xdr:nvSpPr>
        <xdr:cNvPr id="18471" name="Text Box 39"/>
        <xdr:cNvSpPr txBox="1">
          <a:spLocks noChangeArrowheads="1"/>
        </xdr:cNvSpPr>
      </xdr:nvSpPr>
      <xdr:spPr bwMode="auto">
        <a:xfrm>
          <a:off x="2390775" y="933450"/>
          <a:ext cx="2095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800080"/>
              </a:solidFill>
              <a:latin typeface="Arial"/>
              <a:cs typeface="Arial"/>
            </a:rPr>
            <a:t>C</a:t>
          </a:r>
        </a:p>
      </xdr:txBody>
    </xdr:sp>
    <xdr:clientData/>
  </xdr:oneCellAnchor>
  <xdr:oneCellAnchor>
    <xdr:from>
      <xdr:col>7</xdr:col>
      <xdr:colOff>104775</xdr:colOff>
      <xdr:row>5</xdr:row>
      <xdr:rowOff>123825</xdr:rowOff>
    </xdr:from>
    <xdr:ext cx="209550" cy="238125"/>
    <xdr:sp macro="" textlink="">
      <xdr:nvSpPr>
        <xdr:cNvPr id="18472" name="Text Box 40"/>
        <xdr:cNvSpPr txBox="1">
          <a:spLocks noChangeArrowheads="1"/>
        </xdr:cNvSpPr>
      </xdr:nvSpPr>
      <xdr:spPr bwMode="auto">
        <a:xfrm>
          <a:off x="2781300" y="933450"/>
          <a:ext cx="2095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800080"/>
              </a:solidFill>
              <a:latin typeface="Arial"/>
              <a:cs typeface="Arial"/>
            </a:rPr>
            <a:t>C</a:t>
          </a:r>
        </a:p>
      </xdr:txBody>
    </xdr:sp>
    <xdr:clientData/>
  </xdr:oneCellAnchor>
  <xdr:twoCellAnchor editAs="oneCell">
    <xdr:from>
      <xdr:col>9</xdr:col>
      <xdr:colOff>38100</xdr:colOff>
      <xdr:row>2</xdr:row>
      <xdr:rowOff>95250</xdr:rowOff>
    </xdr:from>
    <xdr:to>
      <xdr:col>9</xdr:col>
      <xdr:colOff>247650</xdr:colOff>
      <xdr:row>3</xdr:row>
      <xdr:rowOff>142875</xdr:rowOff>
    </xdr:to>
    <xdr:sp macro="" textlink="">
      <xdr:nvSpPr>
        <xdr:cNvPr id="18473" name="Text Box 41"/>
        <xdr:cNvSpPr txBox="1">
          <a:spLocks noChangeArrowheads="1"/>
        </xdr:cNvSpPr>
      </xdr:nvSpPr>
      <xdr:spPr bwMode="auto">
        <a:xfrm>
          <a:off x="3419475" y="419100"/>
          <a:ext cx="2095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0000FF"/>
              </a:solidFill>
              <a:latin typeface="Arial"/>
              <a:cs typeface="Arial"/>
            </a:rPr>
            <a:t>M</a:t>
          </a:r>
          <a:endParaRPr lang="en-US" sz="1000" b="1" i="0" u="none" strike="noStrike" baseline="0">
            <a:solidFill>
              <a:srgbClr val="0000FF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1" i="0" u="none" strike="noStrike" baseline="0">
            <a:solidFill>
              <a:srgbClr val="0000FF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276225</xdr:colOff>
      <xdr:row>7</xdr:row>
      <xdr:rowOff>76200</xdr:rowOff>
    </xdr:from>
    <xdr:ext cx="914400" cy="200025"/>
    <xdr:sp macro="" textlink="">
      <xdr:nvSpPr>
        <xdr:cNvPr id="18474" name="Text Box 42"/>
        <xdr:cNvSpPr txBox="1">
          <a:spLocks noChangeArrowheads="1"/>
        </xdr:cNvSpPr>
      </xdr:nvSpPr>
      <xdr:spPr bwMode="auto">
        <a:xfrm>
          <a:off x="2228850" y="1209675"/>
          <a:ext cx="9144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1" i="0" u="sng" strike="noStrike" baseline="0">
              <a:solidFill>
                <a:srgbClr val="FF0000"/>
              </a:solidFill>
              <a:latin typeface="Arial"/>
              <a:cs typeface="Arial"/>
            </a:rPr>
            <a:t>Reducing Tee</a:t>
          </a:r>
        </a:p>
      </xdr:txBody>
    </xdr:sp>
    <xdr:clientData/>
  </xdr:oneCellAnchor>
  <xdr:twoCellAnchor>
    <xdr:from>
      <xdr:col>6</xdr:col>
      <xdr:colOff>219075</xdr:colOff>
      <xdr:row>3</xdr:row>
      <xdr:rowOff>9525</xdr:rowOff>
    </xdr:from>
    <xdr:to>
      <xdr:col>6</xdr:col>
      <xdr:colOff>333375</xdr:colOff>
      <xdr:row>3</xdr:row>
      <xdr:rowOff>95250</xdr:rowOff>
    </xdr:to>
    <xdr:sp macro="" textlink="">
      <xdr:nvSpPr>
        <xdr:cNvPr id="18475" name="Line 43"/>
        <xdr:cNvSpPr>
          <a:spLocks noChangeShapeType="1"/>
        </xdr:cNvSpPr>
      </xdr:nvSpPr>
      <xdr:spPr bwMode="auto">
        <a:xfrm>
          <a:off x="2543175" y="495300"/>
          <a:ext cx="114300" cy="857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352425</xdr:colOff>
      <xdr:row>3</xdr:row>
      <xdr:rowOff>19050</xdr:rowOff>
    </xdr:from>
    <xdr:to>
      <xdr:col>7</xdr:col>
      <xdr:colOff>95250</xdr:colOff>
      <xdr:row>3</xdr:row>
      <xdr:rowOff>95250</xdr:rowOff>
    </xdr:to>
    <xdr:sp macro="" textlink="">
      <xdr:nvSpPr>
        <xdr:cNvPr id="18476" name="Line 44"/>
        <xdr:cNvSpPr>
          <a:spLocks noChangeShapeType="1"/>
        </xdr:cNvSpPr>
      </xdr:nvSpPr>
      <xdr:spPr bwMode="auto">
        <a:xfrm flipH="1">
          <a:off x="2676525" y="504825"/>
          <a:ext cx="95250" cy="762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400050</xdr:colOff>
      <xdr:row>2</xdr:row>
      <xdr:rowOff>19050</xdr:rowOff>
    </xdr:from>
    <xdr:to>
      <xdr:col>11</xdr:col>
      <xdr:colOff>381000</xdr:colOff>
      <xdr:row>2</xdr:row>
      <xdr:rowOff>19050</xdr:rowOff>
    </xdr:to>
    <xdr:sp macro="" textlink="">
      <xdr:nvSpPr>
        <xdr:cNvPr id="18477" name="Line 45"/>
        <xdr:cNvSpPr>
          <a:spLocks noChangeShapeType="1"/>
        </xdr:cNvSpPr>
      </xdr:nvSpPr>
      <xdr:spPr bwMode="auto">
        <a:xfrm>
          <a:off x="4210050" y="342900"/>
          <a:ext cx="381000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</xdr:row>
      <xdr:rowOff>28575</xdr:rowOff>
    </xdr:from>
    <xdr:to>
      <xdr:col>11</xdr:col>
      <xdr:colOff>0</xdr:colOff>
      <xdr:row>2</xdr:row>
      <xdr:rowOff>152400</xdr:rowOff>
    </xdr:to>
    <xdr:sp macro="" textlink="">
      <xdr:nvSpPr>
        <xdr:cNvPr id="18478" name="Line 46"/>
        <xdr:cNvSpPr>
          <a:spLocks noChangeShapeType="1"/>
        </xdr:cNvSpPr>
      </xdr:nvSpPr>
      <xdr:spPr bwMode="auto">
        <a:xfrm>
          <a:off x="4210050" y="352425"/>
          <a:ext cx="0" cy="1238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9525</xdr:colOff>
      <xdr:row>2</xdr:row>
      <xdr:rowOff>19050</xdr:rowOff>
    </xdr:from>
    <xdr:to>
      <xdr:col>12</xdr:col>
      <xdr:colOff>9525</xdr:colOff>
      <xdr:row>2</xdr:row>
      <xdr:rowOff>142875</xdr:rowOff>
    </xdr:to>
    <xdr:sp macro="" textlink="">
      <xdr:nvSpPr>
        <xdr:cNvPr id="18479" name="Line 47"/>
        <xdr:cNvSpPr>
          <a:spLocks noChangeShapeType="1"/>
        </xdr:cNvSpPr>
      </xdr:nvSpPr>
      <xdr:spPr bwMode="auto">
        <a:xfrm>
          <a:off x="4600575" y="342900"/>
          <a:ext cx="0" cy="1238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314325</xdr:colOff>
      <xdr:row>5</xdr:row>
      <xdr:rowOff>0</xdr:rowOff>
    </xdr:from>
    <xdr:to>
      <xdr:col>12</xdr:col>
      <xdr:colOff>104775</xdr:colOff>
      <xdr:row>5</xdr:row>
      <xdr:rowOff>0</xdr:rowOff>
    </xdr:to>
    <xdr:sp macro="" textlink="">
      <xdr:nvSpPr>
        <xdr:cNvPr id="18480" name="Line 48"/>
        <xdr:cNvSpPr>
          <a:spLocks noChangeShapeType="1"/>
        </xdr:cNvSpPr>
      </xdr:nvSpPr>
      <xdr:spPr bwMode="auto">
        <a:xfrm>
          <a:off x="4133850" y="809625"/>
          <a:ext cx="56197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314325</xdr:colOff>
      <xdr:row>4</xdr:row>
      <xdr:rowOff>19050</xdr:rowOff>
    </xdr:from>
    <xdr:to>
      <xdr:col>10</xdr:col>
      <xdr:colOff>314325</xdr:colOff>
      <xdr:row>5</xdr:row>
      <xdr:rowOff>0</xdr:rowOff>
    </xdr:to>
    <xdr:sp macro="" textlink="">
      <xdr:nvSpPr>
        <xdr:cNvPr id="18481" name="Line 49"/>
        <xdr:cNvSpPr>
          <a:spLocks noChangeShapeType="1"/>
        </xdr:cNvSpPr>
      </xdr:nvSpPr>
      <xdr:spPr bwMode="auto">
        <a:xfrm flipV="1">
          <a:off x="4133850" y="666750"/>
          <a:ext cx="0" cy="14287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95250</xdr:colOff>
      <xdr:row>4</xdr:row>
      <xdr:rowOff>19050</xdr:rowOff>
    </xdr:from>
    <xdr:to>
      <xdr:col>12</xdr:col>
      <xdr:colOff>95250</xdr:colOff>
      <xdr:row>5</xdr:row>
      <xdr:rowOff>0</xdr:rowOff>
    </xdr:to>
    <xdr:sp macro="" textlink="">
      <xdr:nvSpPr>
        <xdr:cNvPr id="18482" name="Line 50"/>
        <xdr:cNvSpPr>
          <a:spLocks noChangeShapeType="1"/>
        </xdr:cNvSpPr>
      </xdr:nvSpPr>
      <xdr:spPr bwMode="auto">
        <a:xfrm flipV="1">
          <a:off x="4686300" y="666750"/>
          <a:ext cx="0" cy="14287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304800</xdr:colOff>
      <xdr:row>2</xdr:row>
      <xdr:rowOff>133350</xdr:rowOff>
    </xdr:from>
    <xdr:to>
      <xdr:col>10</xdr:col>
      <xdr:colOff>400050</xdr:colOff>
      <xdr:row>4</xdr:row>
      <xdr:rowOff>28575</xdr:rowOff>
    </xdr:to>
    <xdr:sp macro="" textlink="">
      <xdr:nvSpPr>
        <xdr:cNvPr id="18483" name="Line 51"/>
        <xdr:cNvSpPr>
          <a:spLocks noChangeShapeType="1"/>
        </xdr:cNvSpPr>
      </xdr:nvSpPr>
      <xdr:spPr bwMode="auto">
        <a:xfrm flipV="1">
          <a:off x="4124325" y="457200"/>
          <a:ext cx="85725" cy="21907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9525</xdr:colOff>
      <xdr:row>2</xdr:row>
      <xdr:rowOff>114300</xdr:rowOff>
    </xdr:from>
    <xdr:to>
      <xdr:col>12</xdr:col>
      <xdr:colOff>95250</xdr:colOff>
      <xdr:row>4</xdr:row>
      <xdr:rowOff>19050</xdr:rowOff>
    </xdr:to>
    <xdr:sp macro="" textlink="">
      <xdr:nvSpPr>
        <xdr:cNvPr id="18484" name="Line 52"/>
        <xdr:cNvSpPr>
          <a:spLocks noChangeShapeType="1"/>
        </xdr:cNvSpPr>
      </xdr:nvSpPr>
      <xdr:spPr bwMode="auto">
        <a:xfrm>
          <a:off x="4600575" y="438150"/>
          <a:ext cx="85725" cy="22860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200025</xdr:colOff>
      <xdr:row>1</xdr:row>
      <xdr:rowOff>9525</xdr:rowOff>
    </xdr:from>
    <xdr:to>
      <xdr:col>11</xdr:col>
      <xdr:colOff>200025</xdr:colOff>
      <xdr:row>6</xdr:row>
      <xdr:rowOff>38100</xdr:rowOff>
    </xdr:to>
    <xdr:sp macro="" textlink="">
      <xdr:nvSpPr>
        <xdr:cNvPr id="18485" name="Line 53"/>
        <xdr:cNvSpPr>
          <a:spLocks noChangeShapeType="1"/>
        </xdr:cNvSpPr>
      </xdr:nvSpPr>
      <xdr:spPr bwMode="auto">
        <a:xfrm>
          <a:off x="4410075" y="171450"/>
          <a:ext cx="0" cy="83820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85725</xdr:colOff>
      <xdr:row>2</xdr:row>
      <xdr:rowOff>28575</xdr:rowOff>
    </xdr:from>
    <xdr:to>
      <xdr:col>13</xdr:col>
      <xdr:colOff>200025</xdr:colOff>
      <xdr:row>2</xdr:row>
      <xdr:rowOff>28575</xdr:rowOff>
    </xdr:to>
    <xdr:sp macro="" textlink="">
      <xdr:nvSpPr>
        <xdr:cNvPr id="18486" name="Line 54"/>
        <xdr:cNvSpPr>
          <a:spLocks noChangeShapeType="1"/>
        </xdr:cNvSpPr>
      </xdr:nvSpPr>
      <xdr:spPr bwMode="auto">
        <a:xfrm>
          <a:off x="4676775" y="352425"/>
          <a:ext cx="5619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142875</xdr:colOff>
      <xdr:row>5</xdr:row>
      <xdr:rowOff>0</xdr:rowOff>
    </xdr:from>
    <xdr:to>
      <xdr:col>13</xdr:col>
      <xdr:colOff>180975</xdr:colOff>
      <xdr:row>5</xdr:row>
      <xdr:rowOff>0</xdr:rowOff>
    </xdr:to>
    <xdr:sp macro="" textlink="">
      <xdr:nvSpPr>
        <xdr:cNvPr id="18487" name="Line 55"/>
        <xdr:cNvSpPr>
          <a:spLocks noChangeShapeType="1"/>
        </xdr:cNvSpPr>
      </xdr:nvSpPr>
      <xdr:spPr bwMode="auto">
        <a:xfrm flipV="1">
          <a:off x="4733925" y="809625"/>
          <a:ext cx="4857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123825</xdr:colOff>
      <xdr:row>2</xdr:row>
      <xdr:rowOff>9525</xdr:rowOff>
    </xdr:from>
    <xdr:to>
      <xdr:col>13</xdr:col>
      <xdr:colOff>123825</xdr:colOff>
      <xdr:row>5</xdr:row>
      <xdr:rowOff>19050</xdr:rowOff>
    </xdr:to>
    <xdr:sp macro="" textlink="">
      <xdr:nvSpPr>
        <xdr:cNvPr id="18488" name="Line 56"/>
        <xdr:cNvSpPr>
          <a:spLocks noChangeShapeType="1"/>
        </xdr:cNvSpPr>
      </xdr:nvSpPr>
      <xdr:spPr bwMode="auto">
        <a:xfrm>
          <a:off x="5162550" y="333375"/>
          <a:ext cx="0" cy="49530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13</xdr:col>
      <xdr:colOff>142875</xdr:colOff>
      <xdr:row>3</xdr:row>
      <xdr:rowOff>9525</xdr:rowOff>
    </xdr:from>
    <xdr:ext cx="209550" cy="238125"/>
    <xdr:sp macro="" textlink="">
      <xdr:nvSpPr>
        <xdr:cNvPr id="18489" name="Text Box 57"/>
        <xdr:cNvSpPr txBox="1">
          <a:spLocks noChangeArrowheads="1"/>
        </xdr:cNvSpPr>
      </xdr:nvSpPr>
      <xdr:spPr bwMode="auto">
        <a:xfrm>
          <a:off x="5181600" y="495300"/>
          <a:ext cx="2095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FF00FF"/>
              </a:solidFill>
              <a:latin typeface="Arial"/>
              <a:cs typeface="Arial"/>
            </a:rPr>
            <a:t>H</a:t>
          </a:r>
        </a:p>
      </xdr:txBody>
    </xdr:sp>
    <xdr:clientData/>
  </xdr:oneCellAnchor>
  <xdr:twoCellAnchor>
    <xdr:from>
      <xdr:col>15</xdr:col>
      <xdr:colOff>9525</xdr:colOff>
      <xdr:row>5</xdr:row>
      <xdr:rowOff>0</xdr:rowOff>
    </xdr:from>
    <xdr:to>
      <xdr:col>16</xdr:col>
      <xdr:colOff>152400</xdr:colOff>
      <xdr:row>5</xdr:row>
      <xdr:rowOff>0</xdr:rowOff>
    </xdr:to>
    <xdr:sp macro="" textlink="">
      <xdr:nvSpPr>
        <xdr:cNvPr id="18490" name="Line 58"/>
        <xdr:cNvSpPr>
          <a:spLocks noChangeShapeType="1"/>
        </xdr:cNvSpPr>
      </xdr:nvSpPr>
      <xdr:spPr bwMode="auto">
        <a:xfrm>
          <a:off x="5848350" y="809625"/>
          <a:ext cx="628650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2</xdr:row>
      <xdr:rowOff>19050</xdr:rowOff>
    </xdr:from>
    <xdr:to>
      <xdr:col>15</xdr:col>
      <xdr:colOff>390525</xdr:colOff>
      <xdr:row>2</xdr:row>
      <xdr:rowOff>19050</xdr:rowOff>
    </xdr:to>
    <xdr:sp macro="" textlink="">
      <xdr:nvSpPr>
        <xdr:cNvPr id="18491" name="Line 59"/>
        <xdr:cNvSpPr>
          <a:spLocks noChangeShapeType="1"/>
        </xdr:cNvSpPr>
      </xdr:nvSpPr>
      <xdr:spPr bwMode="auto">
        <a:xfrm>
          <a:off x="5838825" y="342900"/>
          <a:ext cx="39052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123825</xdr:colOff>
      <xdr:row>4</xdr:row>
      <xdr:rowOff>9525</xdr:rowOff>
    </xdr:from>
    <xdr:to>
      <xdr:col>16</xdr:col>
      <xdr:colOff>123825</xdr:colOff>
      <xdr:row>4</xdr:row>
      <xdr:rowOff>152400</xdr:rowOff>
    </xdr:to>
    <xdr:sp macro="" textlink="">
      <xdr:nvSpPr>
        <xdr:cNvPr id="18492" name="Line 60"/>
        <xdr:cNvSpPr>
          <a:spLocks noChangeShapeType="1"/>
        </xdr:cNvSpPr>
      </xdr:nvSpPr>
      <xdr:spPr bwMode="auto">
        <a:xfrm flipV="1">
          <a:off x="6448425" y="657225"/>
          <a:ext cx="0" cy="14287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2</xdr:row>
      <xdr:rowOff>19050</xdr:rowOff>
    </xdr:from>
    <xdr:to>
      <xdr:col>15</xdr:col>
      <xdr:colOff>0</xdr:colOff>
      <xdr:row>5</xdr:row>
      <xdr:rowOff>19050</xdr:rowOff>
    </xdr:to>
    <xdr:sp macro="" textlink="">
      <xdr:nvSpPr>
        <xdr:cNvPr id="18493" name="Line 61"/>
        <xdr:cNvSpPr>
          <a:spLocks noChangeShapeType="1"/>
        </xdr:cNvSpPr>
      </xdr:nvSpPr>
      <xdr:spPr bwMode="auto">
        <a:xfrm>
          <a:off x="5838825" y="342900"/>
          <a:ext cx="0" cy="48577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371475</xdr:colOff>
      <xdr:row>2</xdr:row>
      <xdr:rowOff>28575</xdr:rowOff>
    </xdr:from>
    <xdr:to>
      <xdr:col>15</xdr:col>
      <xdr:colOff>371475</xdr:colOff>
      <xdr:row>2</xdr:row>
      <xdr:rowOff>152400</xdr:rowOff>
    </xdr:to>
    <xdr:sp macro="" textlink="">
      <xdr:nvSpPr>
        <xdr:cNvPr id="18494" name="Line 62"/>
        <xdr:cNvSpPr>
          <a:spLocks noChangeShapeType="1"/>
        </xdr:cNvSpPr>
      </xdr:nvSpPr>
      <xdr:spPr bwMode="auto">
        <a:xfrm>
          <a:off x="6210300" y="352425"/>
          <a:ext cx="0" cy="1238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371475</xdr:colOff>
      <xdr:row>2</xdr:row>
      <xdr:rowOff>142875</xdr:rowOff>
    </xdr:from>
    <xdr:to>
      <xdr:col>16</xdr:col>
      <xdr:colOff>114300</xdr:colOff>
      <xdr:row>4</xdr:row>
      <xdr:rowOff>9525</xdr:rowOff>
    </xdr:to>
    <xdr:sp macro="" textlink="">
      <xdr:nvSpPr>
        <xdr:cNvPr id="18495" name="Line 63"/>
        <xdr:cNvSpPr>
          <a:spLocks noChangeShapeType="1"/>
        </xdr:cNvSpPr>
      </xdr:nvSpPr>
      <xdr:spPr bwMode="auto">
        <a:xfrm>
          <a:off x="6210300" y="466725"/>
          <a:ext cx="228600" cy="19050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180975</xdr:colOff>
      <xdr:row>0</xdr:row>
      <xdr:rowOff>152400</xdr:rowOff>
    </xdr:from>
    <xdr:to>
      <xdr:col>15</xdr:col>
      <xdr:colOff>180975</xdr:colOff>
      <xdr:row>2</xdr:row>
      <xdr:rowOff>123825</xdr:rowOff>
    </xdr:to>
    <xdr:sp macro="" textlink="">
      <xdr:nvSpPr>
        <xdr:cNvPr id="18496" name="Line 64"/>
        <xdr:cNvSpPr>
          <a:spLocks noChangeShapeType="1"/>
        </xdr:cNvSpPr>
      </xdr:nvSpPr>
      <xdr:spPr bwMode="auto">
        <a:xfrm>
          <a:off x="6019800" y="152400"/>
          <a:ext cx="0" cy="29527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276225</xdr:colOff>
      <xdr:row>3</xdr:row>
      <xdr:rowOff>133350</xdr:rowOff>
    </xdr:from>
    <xdr:to>
      <xdr:col>15</xdr:col>
      <xdr:colOff>276225</xdr:colOff>
      <xdr:row>6</xdr:row>
      <xdr:rowOff>9525</xdr:rowOff>
    </xdr:to>
    <xdr:sp macro="" textlink="">
      <xdr:nvSpPr>
        <xdr:cNvPr id="18497" name="Line 65"/>
        <xdr:cNvSpPr>
          <a:spLocks noChangeShapeType="1"/>
        </xdr:cNvSpPr>
      </xdr:nvSpPr>
      <xdr:spPr bwMode="auto">
        <a:xfrm>
          <a:off x="6115050" y="619125"/>
          <a:ext cx="0" cy="3619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0</xdr:colOff>
      <xdr:row>2</xdr:row>
      <xdr:rowOff>9525</xdr:rowOff>
    </xdr:from>
    <xdr:to>
      <xdr:col>17</xdr:col>
      <xdr:colOff>95250</xdr:colOff>
      <xdr:row>2</xdr:row>
      <xdr:rowOff>9525</xdr:rowOff>
    </xdr:to>
    <xdr:sp macro="" textlink="">
      <xdr:nvSpPr>
        <xdr:cNvPr id="18498" name="Line 66"/>
        <xdr:cNvSpPr>
          <a:spLocks noChangeShapeType="1"/>
        </xdr:cNvSpPr>
      </xdr:nvSpPr>
      <xdr:spPr bwMode="auto">
        <a:xfrm>
          <a:off x="6324600" y="333375"/>
          <a:ext cx="5524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190500</xdr:colOff>
      <xdr:row>4</xdr:row>
      <xdr:rowOff>152400</xdr:rowOff>
    </xdr:from>
    <xdr:to>
      <xdr:col>17</xdr:col>
      <xdr:colOff>95250</xdr:colOff>
      <xdr:row>4</xdr:row>
      <xdr:rowOff>152400</xdr:rowOff>
    </xdr:to>
    <xdr:sp macro="" textlink="">
      <xdr:nvSpPr>
        <xdr:cNvPr id="18499" name="Line 67"/>
        <xdr:cNvSpPr>
          <a:spLocks noChangeShapeType="1"/>
        </xdr:cNvSpPr>
      </xdr:nvSpPr>
      <xdr:spPr bwMode="auto">
        <a:xfrm flipV="1">
          <a:off x="6515100" y="800100"/>
          <a:ext cx="3619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17</xdr:col>
      <xdr:colOff>38100</xdr:colOff>
      <xdr:row>3</xdr:row>
      <xdr:rowOff>9525</xdr:rowOff>
    </xdr:from>
    <xdr:ext cx="209550" cy="238125"/>
    <xdr:sp macro="" textlink="">
      <xdr:nvSpPr>
        <xdr:cNvPr id="18500" name="Text Box 68"/>
        <xdr:cNvSpPr txBox="1">
          <a:spLocks noChangeArrowheads="1"/>
        </xdr:cNvSpPr>
      </xdr:nvSpPr>
      <xdr:spPr bwMode="auto">
        <a:xfrm>
          <a:off x="6819900" y="495300"/>
          <a:ext cx="2095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FF00FF"/>
              </a:solidFill>
              <a:latin typeface="Arial"/>
              <a:cs typeface="Arial"/>
            </a:rPr>
            <a:t>H</a:t>
          </a:r>
        </a:p>
      </xdr:txBody>
    </xdr:sp>
    <xdr:clientData/>
  </xdr:oneCellAnchor>
  <xdr:twoCellAnchor>
    <xdr:from>
      <xdr:col>17</xdr:col>
      <xdr:colOff>0</xdr:colOff>
      <xdr:row>2</xdr:row>
      <xdr:rowOff>9525</xdr:rowOff>
    </xdr:from>
    <xdr:to>
      <xdr:col>17</xdr:col>
      <xdr:colOff>0</xdr:colOff>
      <xdr:row>5</xdr:row>
      <xdr:rowOff>19050</xdr:rowOff>
    </xdr:to>
    <xdr:sp macro="" textlink="">
      <xdr:nvSpPr>
        <xdr:cNvPr id="18501" name="Line 69"/>
        <xdr:cNvSpPr>
          <a:spLocks noChangeShapeType="1"/>
        </xdr:cNvSpPr>
      </xdr:nvSpPr>
      <xdr:spPr bwMode="auto">
        <a:xfrm>
          <a:off x="6781800" y="333375"/>
          <a:ext cx="0" cy="49530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10</xdr:col>
      <xdr:colOff>142875</xdr:colOff>
      <xdr:row>6</xdr:row>
      <xdr:rowOff>0</xdr:rowOff>
    </xdr:from>
    <xdr:ext cx="962025" cy="200025"/>
    <xdr:sp macro="" textlink="">
      <xdr:nvSpPr>
        <xdr:cNvPr id="18502" name="Text Box 70"/>
        <xdr:cNvSpPr txBox="1">
          <a:spLocks noChangeArrowheads="1"/>
        </xdr:cNvSpPr>
      </xdr:nvSpPr>
      <xdr:spPr bwMode="auto">
        <a:xfrm>
          <a:off x="3962400" y="971550"/>
          <a:ext cx="9620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1" i="0" u="sng" strike="noStrike" baseline="0">
              <a:solidFill>
                <a:srgbClr val="FF0000"/>
              </a:solidFill>
              <a:latin typeface="Arial"/>
              <a:cs typeface="Arial"/>
            </a:rPr>
            <a:t>Conc. Reducer</a:t>
          </a:r>
        </a:p>
      </xdr:txBody>
    </xdr:sp>
    <xdr:clientData/>
  </xdr:oneCellAnchor>
  <xdr:oneCellAnchor>
    <xdr:from>
      <xdr:col>14</xdr:col>
      <xdr:colOff>238125</xdr:colOff>
      <xdr:row>6</xdr:row>
      <xdr:rowOff>0</xdr:rowOff>
    </xdr:from>
    <xdr:ext cx="1171575" cy="200025"/>
    <xdr:sp macro="" textlink="">
      <xdr:nvSpPr>
        <xdr:cNvPr id="18503" name="Text Box 71"/>
        <xdr:cNvSpPr txBox="1">
          <a:spLocks noChangeArrowheads="1"/>
        </xdr:cNvSpPr>
      </xdr:nvSpPr>
      <xdr:spPr bwMode="auto">
        <a:xfrm>
          <a:off x="5734050" y="971550"/>
          <a:ext cx="11715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1" i="0" u="sng" strike="noStrike" baseline="0">
              <a:solidFill>
                <a:srgbClr val="FF0000"/>
              </a:solidFill>
              <a:latin typeface="Arial"/>
              <a:cs typeface="Arial"/>
            </a:rPr>
            <a:t>Eccentric Reducer</a:t>
          </a:r>
        </a:p>
      </xdr:txBody>
    </xdr:sp>
    <xdr:clientData/>
  </xdr:oneCellAnchor>
  <xdr:twoCellAnchor>
    <xdr:from>
      <xdr:col>2</xdr:col>
      <xdr:colOff>0</xdr:colOff>
      <xdr:row>54</xdr:row>
      <xdr:rowOff>0</xdr:rowOff>
    </xdr:from>
    <xdr:to>
      <xdr:col>2</xdr:col>
      <xdr:colOff>0</xdr:colOff>
      <xdr:row>56</xdr:row>
      <xdr:rowOff>28575</xdr:rowOff>
    </xdr:to>
    <xdr:sp macro="" textlink="">
      <xdr:nvSpPr>
        <xdr:cNvPr id="18504" name="Line 72"/>
        <xdr:cNvSpPr>
          <a:spLocks noChangeShapeType="1"/>
        </xdr:cNvSpPr>
      </xdr:nvSpPr>
      <xdr:spPr bwMode="auto">
        <a:xfrm>
          <a:off x="847725" y="9363075"/>
          <a:ext cx="0" cy="3524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54</xdr:row>
      <xdr:rowOff>0</xdr:rowOff>
    </xdr:from>
    <xdr:to>
      <xdr:col>4</xdr:col>
      <xdr:colOff>0</xdr:colOff>
      <xdr:row>56</xdr:row>
      <xdr:rowOff>28575</xdr:rowOff>
    </xdr:to>
    <xdr:sp macro="" textlink="">
      <xdr:nvSpPr>
        <xdr:cNvPr id="18505" name="Line 73"/>
        <xdr:cNvSpPr>
          <a:spLocks noChangeShapeType="1"/>
        </xdr:cNvSpPr>
      </xdr:nvSpPr>
      <xdr:spPr bwMode="auto">
        <a:xfrm>
          <a:off x="1581150" y="9363075"/>
          <a:ext cx="0" cy="3524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142875</xdr:colOff>
      <xdr:row>53</xdr:row>
      <xdr:rowOff>9525</xdr:rowOff>
    </xdr:from>
    <xdr:to>
      <xdr:col>2</xdr:col>
      <xdr:colOff>142875</xdr:colOff>
      <xdr:row>53</xdr:row>
      <xdr:rowOff>152400</xdr:rowOff>
    </xdr:to>
    <xdr:sp macro="" textlink="">
      <xdr:nvSpPr>
        <xdr:cNvPr id="18506" name="Line 74"/>
        <xdr:cNvSpPr>
          <a:spLocks noChangeShapeType="1"/>
        </xdr:cNvSpPr>
      </xdr:nvSpPr>
      <xdr:spPr bwMode="auto">
        <a:xfrm>
          <a:off x="990600" y="9210675"/>
          <a:ext cx="0" cy="14287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200025</xdr:colOff>
      <xdr:row>53</xdr:row>
      <xdr:rowOff>0</xdr:rowOff>
    </xdr:from>
    <xdr:to>
      <xdr:col>3</xdr:col>
      <xdr:colOff>200025</xdr:colOff>
      <xdr:row>54</xdr:row>
      <xdr:rowOff>0</xdr:rowOff>
    </xdr:to>
    <xdr:sp macro="" textlink="">
      <xdr:nvSpPr>
        <xdr:cNvPr id="18507" name="Line 75"/>
        <xdr:cNvSpPr>
          <a:spLocks noChangeShapeType="1"/>
        </xdr:cNvSpPr>
      </xdr:nvSpPr>
      <xdr:spPr bwMode="auto">
        <a:xfrm>
          <a:off x="1419225" y="9201150"/>
          <a:ext cx="0" cy="1619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152400</xdr:colOff>
      <xdr:row>53</xdr:row>
      <xdr:rowOff>0</xdr:rowOff>
    </xdr:from>
    <xdr:to>
      <xdr:col>3</xdr:col>
      <xdr:colOff>200025</xdr:colOff>
      <xdr:row>53</xdr:row>
      <xdr:rowOff>0</xdr:rowOff>
    </xdr:to>
    <xdr:sp macro="" textlink="">
      <xdr:nvSpPr>
        <xdr:cNvPr id="18508" name="Line 76"/>
        <xdr:cNvSpPr>
          <a:spLocks noChangeShapeType="1"/>
        </xdr:cNvSpPr>
      </xdr:nvSpPr>
      <xdr:spPr bwMode="auto">
        <a:xfrm>
          <a:off x="1000125" y="9201150"/>
          <a:ext cx="419100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54</xdr:row>
      <xdr:rowOff>0</xdr:rowOff>
    </xdr:from>
    <xdr:to>
      <xdr:col>2</xdr:col>
      <xdr:colOff>142875</xdr:colOff>
      <xdr:row>54</xdr:row>
      <xdr:rowOff>0</xdr:rowOff>
    </xdr:to>
    <xdr:sp macro="" textlink="">
      <xdr:nvSpPr>
        <xdr:cNvPr id="18509" name="Line 77"/>
        <xdr:cNvSpPr>
          <a:spLocks noChangeShapeType="1"/>
        </xdr:cNvSpPr>
      </xdr:nvSpPr>
      <xdr:spPr bwMode="auto">
        <a:xfrm flipH="1">
          <a:off x="847725" y="9363075"/>
          <a:ext cx="14287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200025</xdr:colOff>
      <xdr:row>54</xdr:row>
      <xdr:rowOff>9525</xdr:rowOff>
    </xdr:from>
    <xdr:to>
      <xdr:col>3</xdr:col>
      <xdr:colOff>352425</xdr:colOff>
      <xdr:row>54</xdr:row>
      <xdr:rowOff>9525</xdr:rowOff>
    </xdr:to>
    <xdr:sp macro="" textlink="">
      <xdr:nvSpPr>
        <xdr:cNvPr id="18510" name="Line 78"/>
        <xdr:cNvSpPr>
          <a:spLocks noChangeShapeType="1"/>
        </xdr:cNvSpPr>
      </xdr:nvSpPr>
      <xdr:spPr bwMode="auto">
        <a:xfrm>
          <a:off x="1419225" y="9372600"/>
          <a:ext cx="152400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9525</xdr:colOff>
      <xdr:row>56</xdr:row>
      <xdr:rowOff>19050</xdr:rowOff>
    </xdr:from>
    <xdr:to>
      <xdr:col>3</xdr:col>
      <xdr:colOff>361950</xdr:colOff>
      <xdr:row>56</xdr:row>
      <xdr:rowOff>19050</xdr:rowOff>
    </xdr:to>
    <xdr:sp macro="" textlink="">
      <xdr:nvSpPr>
        <xdr:cNvPr id="18511" name="Line 79"/>
        <xdr:cNvSpPr>
          <a:spLocks noChangeShapeType="1"/>
        </xdr:cNvSpPr>
      </xdr:nvSpPr>
      <xdr:spPr bwMode="auto">
        <a:xfrm>
          <a:off x="857250" y="9705975"/>
          <a:ext cx="723900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257175</xdr:colOff>
      <xdr:row>55</xdr:row>
      <xdr:rowOff>9525</xdr:rowOff>
    </xdr:from>
    <xdr:to>
      <xdr:col>5</xdr:col>
      <xdr:colOff>38100</xdr:colOff>
      <xdr:row>55</xdr:row>
      <xdr:rowOff>9525</xdr:rowOff>
    </xdr:to>
    <xdr:sp macro="" textlink="">
      <xdr:nvSpPr>
        <xdr:cNvPr id="18512" name="Line 80"/>
        <xdr:cNvSpPr>
          <a:spLocks noChangeShapeType="1"/>
        </xdr:cNvSpPr>
      </xdr:nvSpPr>
      <xdr:spPr bwMode="auto">
        <a:xfrm>
          <a:off x="695325" y="9534525"/>
          <a:ext cx="12954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266700</xdr:colOff>
      <xdr:row>53</xdr:row>
      <xdr:rowOff>0</xdr:rowOff>
    </xdr:from>
    <xdr:to>
      <xdr:col>5</xdr:col>
      <xdr:colOff>76200</xdr:colOff>
      <xdr:row>53</xdr:row>
      <xdr:rowOff>0</xdr:rowOff>
    </xdr:to>
    <xdr:sp macro="" textlink="">
      <xdr:nvSpPr>
        <xdr:cNvPr id="18513" name="Line 81"/>
        <xdr:cNvSpPr>
          <a:spLocks noChangeShapeType="1"/>
        </xdr:cNvSpPr>
      </xdr:nvSpPr>
      <xdr:spPr bwMode="auto">
        <a:xfrm>
          <a:off x="1485900" y="9201150"/>
          <a:ext cx="54292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152400</xdr:colOff>
      <xdr:row>54</xdr:row>
      <xdr:rowOff>0</xdr:rowOff>
    </xdr:from>
    <xdr:to>
      <xdr:col>3</xdr:col>
      <xdr:colOff>0</xdr:colOff>
      <xdr:row>54</xdr:row>
      <xdr:rowOff>76200</xdr:rowOff>
    </xdr:to>
    <xdr:sp macro="" textlink="">
      <xdr:nvSpPr>
        <xdr:cNvPr id="18514" name="Line 82"/>
        <xdr:cNvSpPr>
          <a:spLocks noChangeShapeType="1"/>
        </xdr:cNvSpPr>
      </xdr:nvSpPr>
      <xdr:spPr bwMode="auto">
        <a:xfrm>
          <a:off x="1000125" y="9363075"/>
          <a:ext cx="219075" cy="762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333375</xdr:colOff>
      <xdr:row>54</xdr:row>
      <xdr:rowOff>0</xdr:rowOff>
    </xdr:from>
    <xdr:to>
      <xdr:col>3</xdr:col>
      <xdr:colOff>209550</xdr:colOff>
      <xdr:row>54</xdr:row>
      <xdr:rowOff>66675</xdr:rowOff>
    </xdr:to>
    <xdr:sp macro="" textlink="">
      <xdr:nvSpPr>
        <xdr:cNvPr id="18515" name="Line 83"/>
        <xdr:cNvSpPr>
          <a:spLocks noChangeShapeType="1"/>
        </xdr:cNvSpPr>
      </xdr:nvSpPr>
      <xdr:spPr bwMode="auto">
        <a:xfrm flipV="1">
          <a:off x="1181100" y="9363075"/>
          <a:ext cx="247650" cy="666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52</xdr:row>
      <xdr:rowOff>0</xdr:rowOff>
    </xdr:from>
    <xdr:to>
      <xdr:col>3</xdr:col>
      <xdr:colOff>0</xdr:colOff>
      <xdr:row>58</xdr:row>
      <xdr:rowOff>66675</xdr:rowOff>
    </xdr:to>
    <xdr:sp macro="" textlink="">
      <xdr:nvSpPr>
        <xdr:cNvPr id="18516" name="Line 84"/>
        <xdr:cNvSpPr>
          <a:spLocks noChangeShapeType="1"/>
        </xdr:cNvSpPr>
      </xdr:nvSpPr>
      <xdr:spPr bwMode="auto">
        <a:xfrm>
          <a:off x="1219200" y="9039225"/>
          <a:ext cx="0" cy="10382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56</xdr:row>
      <xdr:rowOff>76200</xdr:rowOff>
    </xdr:from>
    <xdr:to>
      <xdr:col>2</xdr:col>
      <xdr:colOff>0</xdr:colOff>
      <xdr:row>58</xdr:row>
      <xdr:rowOff>28575</xdr:rowOff>
    </xdr:to>
    <xdr:sp macro="" textlink="">
      <xdr:nvSpPr>
        <xdr:cNvPr id="18517" name="Line 85"/>
        <xdr:cNvSpPr>
          <a:spLocks noChangeShapeType="1"/>
        </xdr:cNvSpPr>
      </xdr:nvSpPr>
      <xdr:spPr bwMode="auto">
        <a:xfrm>
          <a:off x="847725" y="9763125"/>
          <a:ext cx="0" cy="2762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9525</xdr:colOff>
      <xdr:row>56</xdr:row>
      <xdr:rowOff>57150</xdr:rowOff>
    </xdr:from>
    <xdr:to>
      <xdr:col>4</xdr:col>
      <xdr:colOff>9525</xdr:colOff>
      <xdr:row>58</xdr:row>
      <xdr:rowOff>9525</xdr:rowOff>
    </xdr:to>
    <xdr:sp macro="" textlink="">
      <xdr:nvSpPr>
        <xdr:cNvPr id="18518" name="Line 86"/>
        <xdr:cNvSpPr>
          <a:spLocks noChangeShapeType="1"/>
        </xdr:cNvSpPr>
      </xdr:nvSpPr>
      <xdr:spPr bwMode="auto">
        <a:xfrm>
          <a:off x="1590675" y="9744075"/>
          <a:ext cx="0" cy="2762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400050</xdr:colOff>
      <xdr:row>57</xdr:row>
      <xdr:rowOff>152400</xdr:rowOff>
    </xdr:from>
    <xdr:to>
      <xdr:col>2</xdr:col>
      <xdr:colOff>361950</xdr:colOff>
      <xdr:row>57</xdr:row>
      <xdr:rowOff>152400</xdr:rowOff>
    </xdr:to>
    <xdr:sp macro="" textlink="">
      <xdr:nvSpPr>
        <xdr:cNvPr id="18519" name="Line 87"/>
        <xdr:cNvSpPr>
          <a:spLocks noChangeShapeType="1"/>
        </xdr:cNvSpPr>
      </xdr:nvSpPr>
      <xdr:spPr bwMode="auto">
        <a:xfrm>
          <a:off x="838200" y="10001250"/>
          <a:ext cx="3714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57</xdr:row>
      <xdr:rowOff>152400</xdr:rowOff>
    </xdr:from>
    <xdr:to>
      <xdr:col>4</xdr:col>
      <xdr:colOff>19050</xdr:colOff>
      <xdr:row>57</xdr:row>
      <xdr:rowOff>152400</xdr:rowOff>
    </xdr:to>
    <xdr:sp macro="" textlink="">
      <xdr:nvSpPr>
        <xdr:cNvPr id="18520" name="Line 88"/>
        <xdr:cNvSpPr>
          <a:spLocks noChangeShapeType="1"/>
        </xdr:cNvSpPr>
      </xdr:nvSpPr>
      <xdr:spPr bwMode="auto">
        <a:xfrm>
          <a:off x="1219200" y="10001250"/>
          <a:ext cx="3810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</xdr:col>
      <xdr:colOff>76200</xdr:colOff>
      <xdr:row>56</xdr:row>
      <xdr:rowOff>123825</xdr:rowOff>
    </xdr:from>
    <xdr:ext cx="209550" cy="238125"/>
    <xdr:sp macro="" textlink="">
      <xdr:nvSpPr>
        <xdr:cNvPr id="18521" name="Text Box 89"/>
        <xdr:cNvSpPr txBox="1">
          <a:spLocks noChangeArrowheads="1"/>
        </xdr:cNvSpPr>
      </xdr:nvSpPr>
      <xdr:spPr bwMode="auto">
        <a:xfrm>
          <a:off x="923925" y="9810750"/>
          <a:ext cx="2095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800080"/>
              </a:solidFill>
              <a:latin typeface="Arial"/>
              <a:cs typeface="Arial"/>
            </a:rPr>
            <a:t>C</a:t>
          </a:r>
        </a:p>
      </xdr:txBody>
    </xdr:sp>
    <xdr:clientData/>
  </xdr:oneCellAnchor>
  <xdr:oneCellAnchor>
    <xdr:from>
      <xdr:col>3</xdr:col>
      <xdr:colOff>123825</xdr:colOff>
      <xdr:row>56</xdr:row>
      <xdr:rowOff>123825</xdr:rowOff>
    </xdr:from>
    <xdr:ext cx="209550" cy="238125"/>
    <xdr:sp macro="" textlink="">
      <xdr:nvSpPr>
        <xdr:cNvPr id="18522" name="Text Box 90"/>
        <xdr:cNvSpPr txBox="1">
          <a:spLocks noChangeArrowheads="1"/>
        </xdr:cNvSpPr>
      </xdr:nvSpPr>
      <xdr:spPr bwMode="auto">
        <a:xfrm>
          <a:off x="1343025" y="9810750"/>
          <a:ext cx="2095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800080"/>
              </a:solidFill>
              <a:latin typeface="Arial"/>
              <a:cs typeface="Arial"/>
            </a:rPr>
            <a:t>C</a:t>
          </a:r>
        </a:p>
      </xdr:txBody>
    </xdr:sp>
    <xdr:clientData/>
  </xdr:oneCellAnchor>
  <xdr:twoCellAnchor>
    <xdr:from>
      <xdr:col>4</xdr:col>
      <xdr:colOff>381000</xdr:colOff>
      <xdr:row>53</xdr:row>
      <xdr:rowOff>9525</xdr:rowOff>
    </xdr:from>
    <xdr:to>
      <xdr:col>4</xdr:col>
      <xdr:colOff>381000</xdr:colOff>
      <xdr:row>54</xdr:row>
      <xdr:rowOff>152400</xdr:rowOff>
    </xdr:to>
    <xdr:sp macro="" textlink="">
      <xdr:nvSpPr>
        <xdr:cNvPr id="18523" name="Line 91"/>
        <xdr:cNvSpPr>
          <a:spLocks noChangeShapeType="1"/>
        </xdr:cNvSpPr>
      </xdr:nvSpPr>
      <xdr:spPr bwMode="auto">
        <a:xfrm>
          <a:off x="1952625" y="9210675"/>
          <a:ext cx="0" cy="3048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5</xdr:col>
      <xdr:colOff>28575</xdr:colOff>
      <xdr:row>53</xdr:row>
      <xdr:rowOff>76200</xdr:rowOff>
    </xdr:from>
    <xdr:ext cx="209550" cy="438150"/>
    <xdr:sp macro="" textlink="">
      <xdr:nvSpPr>
        <xdr:cNvPr id="18524" name="Text Box 92"/>
        <xdr:cNvSpPr txBox="1">
          <a:spLocks noChangeArrowheads="1"/>
        </xdr:cNvSpPr>
      </xdr:nvSpPr>
      <xdr:spPr bwMode="auto">
        <a:xfrm>
          <a:off x="1981200" y="9277350"/>
          <a:ext cx="2095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800080"/>
              </a:solidFill>
              <a:latin typeface="Arial"/>
              <a:cs typeface="Arial"/>
            </a:rPr>
            <a:t>C</a:t>
          </a:r>
          <a:endParaRPr lang="en-US" sz="10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</xdr:col>
      <xdr:colOff>371475</xdr:colOff>
      <xdr:row>58</xdr:row>
      <xdr:rowOff>76200</xdr:rowOff>
    </xdr:from>
    <xdr:ext cx="819150" cy="200025"/>
    <xdr:sp macro="" textlink="">
      <xdr:nvSpPr>
        <xdr:cNvPr id="18525" name="Text Box 93"/>
        <xdr:cNvSpPr txBox="1">
          <a:spLocks noChangeArrowheads="1"/>
        </xdr:cNvSpPr>
      </xdr:nvSpPr>
      <xdr:spPr bwMode="auto">
        <a:xfrm>
          <a:off x="809625" y="10086975"/>
          <a:ext cx="8191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FF0000"/>
              </a:solidFill>
              <a:latin typeface="Arial"/>
              <a:cs typeface="Arial"/>
            </a:rPr>
            <a:t>Straight Tee</a:t>
          </a:r>
        </a:p>
      </xdr:txBody>
    </xdr:sp>
    <xdr:clientData/>
  </xdr:oneCellAnchor>
  <xdr:twoCellAnchor>
    <xdr:from>
      <xdr:col>6</xdr:col>
      <xdr:colOff>9525</xdr:colOff>
      <xdr:row>56</xdr:row>
      <xdr:rowOff>9525</xdr:rowOff>
    </xdr:from>
    <xdr:to>
      <xdr:col>8</xdr:col>
      <xdr:colOff>0</xdr:colOff>
      <xdr:row>56</xdr:row>
      <xdr:rowOff>9525</xdr:rowOff>
    </xdr:to>
    <xdr:sp macro="" textlink="">
      <xdr:nvSpPr>
        <xdr:cNvPr id="18526" name="Line 94"/>
        <xdr:cNvSpPr>
          <a:spLocks noChangeShapeType="1"/>
        </xdr:cNvSpPr>
      </xdr:nvSpPr>
      <xdr:spPr bwMode="auto">
        <a:xfrm>
          <a:off x="2333625" y="9696450"/>
          <a:ext cx="67627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323850</xdr:colOff>
      <xdr:row>54</xdr:row>
      <xdr:rowOff>9525</xdr:rowOff>
    </xdr:from>
    <xdr:to>
      <xdr:col>7</xdr:col>
      <xdr:colOff>323850</xdr:colOff>
      <xdr:row>56</xdr:row>
      <xdr:rowOff>38100</xdr:rowOff>
    </xdr:to>
    <xdr:sp macro="" textlink="">
      <xdr:nvSpPr>
        <xdr:cNvPr id="18527" name="Line 95"/>
        <xdr:cNvSpPr>
          <a:spLocks noChangeShapeType="1"/>
        </xdr:cNvSpPr>
      </xdr:nvSpPr>
      <xdr:spPr bwMode="auto">
        <a:xfrm>
          <a:off x="3000375" y="9372600"/>
          <a:ext cx="0" cy="3524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54</xdr:row>
      <xdr:rowOff>0</xdr:rowOff>
    </xdr:from>
    <xdr:to>
      <xdr:col>6</xdr:col>
      <xdr:colOff>0</xdr:colOff>
      <xdr:row>56</xdr:row>
      <xdr:rowOff>28575</xdr:rowOff>
    </xdr:to>
    <xdr:sp macro="" textlink="">
      <xdr:nvSpPr>
        <xdr:cNvPr id="18528" name="Line 96"/>
        <xdr:cNvSpPr>
          <a:spLocks noChangeShapeType="1"/>
        </xdr:cNvSpPr>
      </xdr:nvSpPr>
      <xdr:spPr bwMode="auto">
        <a:xfrm>
          <a:off x="2324100" y="9363075"/>
          <a:ext cx="0" cy="3524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228600</xdr:colOff>
      <xdr:row>53</xdr:row>
      <xdr:rowOff>0</xdr:rowOff>
    </xdr:from>
    <xdr:to>
      <xdr:col>7</xdr:col>
      <xdr:colOff>104775</xdr:colOff>
      <xdr:row>53</xdr:row>
      <xdr:rowOff>0</xdr:rowOff>
    </xdr:to>
    <xdr:sp macro="" textlink="">
      <xdr:nvSpPr>
        <xdr:cNvPr id="18529" name="Line 97"/>
        <xdr:cNvSpPr>
          <a:spLocks noChangeShapeType="1"/>
        </xdr:cNvSpPr>
      </xdr:nvSpPr>
      <xdr:spPr bwMode="auto">
        <a:xfrm>
          <a:off x="2552700" y="9201150"/>
          <a:ext cx="228600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219075</xdr:colOff>
      <xdr:row>53</xdr:row>
      <xdr:rowOff>0</xdr:rowOff>
    </xdr:from>
    <xdr:to>
      <xdr:col>6</xdr:col>
      <xdr:colOff>219075</xdr:colOff>
      <xdr:row>54</xdr:row>
      <xdr:rowOff>0</xdr:rowOff>
    </xdr:to>
    <xdr:sp macro="" textlink="">
      <xdr:nvSpPr>
        <xdr:cNvPr id="18530" name="Line 98"/>
        <xdr:cNvSpPr>
          <a:spLocks noChangeShapeType="1"/>
        </xdr:cNvSpPr>
      </xdr:nvSpPr>
      <xdr:spPr bwMode="auto">
        <a:xfrm>
          <a:off x="2543175" y="9201150"/>
          <a:ext cx="0" cy="1619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114300</xdr:colOff>
      <xdr:row>53</xdr:row>
      <xdr:rowOff>0</xdr:rowOff>
    </xdr:from>
    <xdr:to>
      <xdr:col>7</xdr:col>
      <xdr:colOff>114300</xdr:colOff>
      <xdr:row>54</xdr:row>
      <xdr:rowOff>0</xdr:rowOff>
    </xdr:to>
    <xdr:sp macro="" textlink="">
      <xdr:nvSpPr>
        <xdr:cNvPr id="18531" name="Line 99"/>
        <xdr:cNvSpPr>
          <a:spLocks noChangeShapeType="1"/>
        </xdr:cNvSpPr>
      </xdr:nvSpPr>
      <xdr:spPr bwMode="auto">
        <a:xfrm>
          <a:off x="2790825" y="9201150"/>
          <a:ext cx="0" cy="1619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54</xdr:row>
      <xdr:rowOff>9525</xdr:rowOff>
    </xdr:from>
    <xdr:to>
      <xdr:col>6</xdr:col>
      <xdr:colOff>219075</xdr:colOff>
      <xdr:row>54</xdr:row>
      <xdr:rowOff>9525</xdr:rowOff>
    </xdr:to>
    <xdr:sp macro="" textlink="">
      <xdr:nvSpPr>
        <xdr:cNvPr id="18532" name="Line 100"/>
        <xdr:cNvSpPr>
          <a:spLocks noChangeShapeType="1"/>
        </xdr:cNvSpPr>
      </xdr:nvSpPr>
      <xdr:spPr bwMode="auto">
        <a:xfrm flipH="1">
          <a:off x="2324100" y="9372600"/>
          <a:ext cx="21907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114300</xdr:colOff>
      <xdr:row>54</xdr:row>
      <xdr:rowOff>9525</xdr:rowOff>
    </xdr:from>
    <xdr:to>
      <xdr:col>7</xdr:col>
      <xdr:colOff>304800</xdr:colOff>
      <xdr:row>54</xdr:row>
      <xdr:rowOff>9525</xdr:rowOff>
    </xdr:to>
    <xdr:sp macro="" textlink="">
      <xdr:nvSpPr>
        <xdr:cNvPr id="18533" name="Line 101"/>
        <xdr:cNvSpPr>
          <a:spLocks noChangeShapeType="1"/>
        </xdr:cNvSpPr>
      </xdr:nvSpPr>
      <xdr:spPr bwMode="auto">
        <a:xfrm>
          <a:off x="2790825" y="9372600"/>
          <a:ext cx="190500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352425</xdr:colOff>
      <xdr:row>52</xdr:row>
      <xdr:rowOff>66675</xdr:rowOff>
    </xdr:from>
    <xdr:to>
      <xdr:col>6</xdr:col>
      <xdr:colOff>352425</xdr:colOff>
      <xdr:row>58</xdr:row>
      <xdr:rowOff>133350</xdr:rowOff>
    </xdr:to>
    <xdr:sp macro="" textlink="">
      <xdr:nvSpPr>
        <xdr:cNvPr id="18534" name="Line 102"/>
        <xdr:cNvSpPr>
          <a:spLocks noChangeShapeType="1"/>
        </xdr:cNvSpPr>
      </xdr:nvSpPr>
      <xdr:spPr bwMode="auto">
        <a:xfrm>
          <a:off x="2676525" y="9105900"/>
          <a:ext cx="0" cy="10382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314325</xdr:colOff>
      <xdr:row>55</xdr:row>
      <xdr:rowOff>9525</xdr:rowOff>
    </xdr:from>
    <xdr:to>
      <xdr:col>9</xdr:col>
      <xdr:colOff>180975</xdr:colOff>
      <xdr:row>55</xdr:row>
      <xdr:rowOff>9525</xdr:rowOff>
    </xdr:to>
    <xdr:sp macro="" textlink="">
      <xdr:nvSpPr>
        <xdr:cNvPr id="18535" name="Line 103"/>
        <xdr:cNvSpPr>
          <a:spLocks noChangeShapeType="1"/>
        </xdr:cNvSpPr>
      </xdr:nvSpPr>
      <xdr:spPr bwMode="auto">
        <a:xfrm>
          <a:off x="2266950" y="9534525"/>
          <a:ext cx="12954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209550</xdr:colOff>
      <xdr:row>53</xdr:row>
      <xdr:rowOff>9525</xdr:rowOff>
    </xdr:from>
    <xdr:to>
      <xdr:col>9</xdr:col>
      <xdr:colOff>76200</xdr:colOff>
      <xdr:row>53</xdr:row>
      <xdr:rowOff>9525</xdr:rowOff>
    </xdr:to>
    <xdr:sp macro="" textlink="">
      <xdr:nvSpPr>
        <xdr:cNvPr id="18536" name="Line 104"/>
        <xdr:cNvSpPr>
          <a:spLocks noChangeShapeType="1"/>
        </xdr:cNvSpPr>
      </xdr:nvSpPr>
      <xdr:spPr bwMode="auto">
        <a:xfrm>
          <a:off x="2886075" y="9210675"/>
          <a:ext cx="5715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352425</xdr:colOff>
      <xdr:row>53</xdr:row>
      <xdr:rowOff>19050</xdr:rowOff>
    </xdr:from>
    <xdr:to>
      <xdr:col>8</xdr:col>
      <xdr:colOff>352425</xdr:colOff>
      <xdr:row>55</xdr:row>
      <xdr:rowOff>0</xdr:rowOff>
    </xdr:to>
    <xdr:sp macro="" textlink="">
      <xdr:nvSpPr>
        <xdr:cNvPr id="18537" name="Line 105"/>
        <xdr:cNvSpPr>
          <a:spLocks noChangeShapeType="1"/>
        </xdr:cNvSpPr>
      </xdr:nvSpPr>
      <xdr:spPr bwMode="auto">
        <a:xfrm>
          <a:off x="3362325" y="9220200"/>
          <a:ext cx="0" cy="3048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352425</xdr:colOff>
      <xdr:row>56</xdr:row>
      <xdr:rowOff>66675</xdr:rowOff>
    </xdr:from>
    <xdr:to>
      <xdr:col>5</xdr:col>
      <xdr:colOff>352425</xdr:colOff>
      <xdr:row>58</xdr:row>
      <xdr:rowOff>19050</xdr:rowOff>
    </xdr:to>
    <xdr:sp macro="" textlink="">
      <xdr:nvSpPr>
        <xdr:cNvPr id="18538" name="Line 106"/>
        <xdr:cNvSpPr>
          <a:spLocks noChangeShapeType="1"/>
        </xdr:cNvSpPr>
      </xdr:nvSpPr>
      <xdr:spPr bwMode="auto">
        <a:xfrm>
          <a:off x="2305050" y="9753600"/>
          <a:ext cx="0" cy="2762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323850</xdr:colOff>
      <xdr:row>56</xdr:row>
      <xdr:rowOff>76200</xdr:rowOff>
    </xdr:from>
    <xdr:to>
      <xdr:col>7</xdr:col>
      <xdr:colOff>323850</xdr:colOff>
      <xdr:row>58</xdr:row>
      <xdr:rowOff>28575</xdr:rowOff>
    </xdr:to>
    <xdr:sp macro="" textlink="">
      <xdr:nvSpPr>
        <xdr:cNvPr id="18539" name="Line 107"/>
        <xdr:cNvSpPr>
          <a:spLocks noChangeShapeType="1"/>
        </xdr:cNvSpPr>
      </xdr:nvSpPr>
      <xdr:spPr bwMode="auto">
        <a:xfrm>
          <a:off x="3000375" y="9763125"/>
          <a:ext cx="0" cy="2762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57</xdr:row>
      <xdr:rowOff>142875</xdr:rowOff>
    </xdr:from>
    <xdr:to>
      <xdr:col>6</xdr:col>
      <xdr:colOff>342900</xdr:colOff>
      <xdr:row>57</xdr:row>
      <xdr:rowOff>142875</xdr:rowOff>
    </xdr:to>
    <xdr:sp macro="" textlink="">
      <xdr:nvSpPr>
        <xdr:cNvPr id="18540" name="Line 108"/>
        <xdr:cNvSpPr>
          <a:spLocks noChangeShapeType="1"/>
        </xdr:cNvSpPr>
      </xdr:nvSpPr>
      <xdr:spPr bwMode="auto">
        <a:xfrm>
          <a:off x="2333625" y="9991725"/>
          <a:ext cx="3333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28575</xdr:colOff>
      <xdr:row>57</xdr:row>
      <xdr:rowOff>152400</xdr:rowOff>
    </xdr:from>
    <xdr:to>
      <xdr:col>8</xdr:col>
      <xdr:colOff>19050</xdr:colOff>
      <xdr:row>57</xdr:row>
      <xdr:rowOff>152400</xdr:rowOff>
    </xdr:to>
    <xdr:sp macro="" textlink="">
      <xdr:nvSpPr>
        <xdr:cNvPr id="18541" name="Line 109"/>
        <xdr:cNvSpPr>
          <a:spLocks noChangeShapeType="1"/>
        </xdr:cNvSpPr>
      </xdr:nvSpPr>
      <xdr:spPr bwMode="auto">
        <a:xfrm>
          <a:off x="2705100" y="10001250"/>
          <a:ext cx="3238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6</xdr:col>
      <xdr:colOff>104775</xdr:colOff>
      <xdr:row>56</xdr:row>
      <xdr:rowOff>123825</xdr:rowOff>
    </xdr:from>
    <xdr:ext cx="209550" cy="238125"/>
    <xdr:sp macro="" textlink="">
      <xdr:nvSpPr>
        <xdr:cNvPr id="18542" name="Text Box 110"/>
        <xdr:cNvSpPr txBox="1">
          <a:spLocks noChangeArrowheads="1"/>
        </xdr:cNvSpPr>
      </xdr:nvSpPr>
      <xdr:spPr bwMode="auto">
        <a:xfrm>
          <a:off x="2428875" y="9810750"/>
          <a:ext cx="2095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800080"/>
              </a:solidFill>
              <a:latin typeface="Arial"/>
              <a:cs typeface="Arial"/>
            </a:rPr>
            <a:t>C</a:t>
          </a:r>
        </a:p>
      </xdr:txBody>
    </xdr:sp>
    <xdr:clientData/>
  </xdr:oneCellAnchor>
  <xdr:oneCellAnchor>
    <xdr:from>
      <xdr:col>7</xdr:col>
      <xdr:colOff>104775</xdr:colOff>
      <xdr:row>56</xdr:row>
      <xdr:rowOff>123825</xdr:rowOff>
    </xdr:from>
    <xdr:ext cx="209550" cy="238125"/>
    <xdr:sp macro="" textlink="">
      <xdr:nvSpPr>
        <xdr:cNvPr id="18543" name="Text Box 111"/>
        <xdr:cNvSpPr txBox="1">
          <a:spLocks noChangeArrowheads="1"/>
        </xdr:cNvSpPr>
      </xdr:nvSpPr>
      <xdr:spPr bwMode="auto">
        <a:xfrm>
          <a:off x="2781300" y="9810750"/>
          <a:ext cx="2095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800080"/>
              </a:solidFill>
              <a:latin typeface="Arial"/>
              <a:cs typeface="Arial"/>
            </a:rPr>
            <a:t>C</a:t>
          </a:r>
        </a:p>
      </xdr:txBody>
    </xdr:sp>
    <xdr:clientData/>
  </xdr:oneCellAnchor>
  <xdr:twoCellAnchor editAs="oneCell">
    <xdr:from>
      <xdr:col>9</xdr:col>
      <xdr:colOff>38100</xdr:colOff>
      <xdr:row>53</xdr:row>
      <xdr:rowOff>95250</xdr:rowOff>
    </xdr:from>
    <xdr:to>
      <xdr:col>9</xdr:col>
      <xdr:colOff>228600</xdr:colOff>
      <xdr:row>54</xdr:row>
      <xdr:rowOff>123825</xdr:rowOff>
    </xdr:to>
    <xdr:sp macro="" textlink="">
      <xdr:nvSpPr>
        <xdr:cNvPr id="18544" name="Text Box 112"/>
        <xdr:cNvSpPr txBox="1">
          <a:spLocks noChangeArrowheads="1"/>
        </xdr:cNvSpPr>
      </xdr:nvSpPr>
      <xdr:spPr bwMode="auto">
        <a:xfrm>
          <a:off x="3419475" y="9296400"/>
          <a:ext cx="190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0000FF"/>
              </a:solidFill>
              <a:latin typeface="Arial"/>
              <a:cs typeface="Arial"/>
            </a:rPr>
            <a:t>M</a:t>
          </a:r>
          <a:endParaRPr lang="en-US" sz="1000" b="1" i="0" u="none" strike="noStrike" baseline="0">
            <a:solidFill>
              <a:srgbClr val="0000FF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1" i="0" u="none" strike="noStrike" baseline="0">
            <a:solidFill>
              <a:srgbClr val="0000FF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342900</xdr:colOff>
      <xdr:row>58</xdr:row>
      <xdr:rowOff>85725</xdr:rowOff>
    </xdr:from>
    <xdr:ext cx="914400" cy="200025"/>
    <xdr:sp macro="" textlink="">
      <xdr:nvSpPr>
        <xdr:cNvPr id="18545" name="Text Box 113"/>
        <xdr:cNvSpPr txBox="1">
          <a:spLocks noChangeArrowheads="1"/>
        </xdr:cNvSpPr>
      </xdr:nvSpPr>
      <xdr:spPr bwMode="auto">
        <a:xfrm>
          <a:off x="2295525" y="10096500"/>
          <a:ext cx="9144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FF0000"/>
              </a:solidFill>
              <a:latin typeface="Arial"/>
              <a:cs typeface="Arial"/>
            </a:rPr>
            <a:t>Reducing Tee</a:t>
          </a:r>
        </a:p>
      </xdr:txBody>
    </xdr:sp>
    <xdr:clientData/>
  </xdr:oneCellAnchor>
  <xdr:twoCellAnchor>
    <xdr:from>
      <xdr:col>6</xdr:col>
      <xdr:colOff>219075</xdr:colOff>
      <xdr:row>54</xdr:row>
      <xdr:rowOff>9525</xdr:rowOff>
    </xdr:from>
    <xdr:to>
      <xdr:col>6</xdr:col>
      <xdr:colOff>333375</xdr:colOff>
      <xdr:row>54</xdr:row>
      <xdr:rowOff>95250</xdr:rowOff>
    </xdr:to>
    <xdr:sp macro="" textlink="">
      <xdr:nvSpPr>
        <xdr:cNvPr id="18546" name="Line 114"/>
        <xdr:cNvSpPr>
          <a:spLocks noChangeShapeType="1"/>
        </xdr:cNvSpPr>
      </xdr:nvSpPr>
      <xdr:spPr bwMode="auto">
        <a:xfrm>
          <a:off x="2543175" y="9372600"/>
          <a:ext cx="114300" cy="857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352425</xdr:colOff>
      <xdr:row>54</xdr:row>
      <xdr:rowOff>19050</xdr:rowOff>
    </xdr:from>
    <xdr:to>
      <xdr:col>7</xdr:col>
      <xdr:colOff>95250</xdr:colOff>
      <xdr:row>54</xdr:row>
      <xdr:rowOff>95250</xdr:rowOff>
    </xdr:to>
    <xdr:sp macro="" textlink="">
      <xdr:nvSpPr>
        <xdr:cNvPr id="18547" name="Line 115"/>
        <xdr:cNvSpPr>
          <a:spLocks noChangeShapeType="1"/>
        </xdr:cNvSpPr>
      </xdr:nvSpPr>
      <xdr:spPr bwMode="auto">
        <a:xfrm flipH="1">
          <a:off x="2676525" y="9382125"/>
          <a:ext cx="95250" cy="762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400050</xdr:colOff>
      <xdr:row>53</xdr:row>
      <xdr:rowOff>19050</xdr:rowOff>
    </xdr:from>
    <xdr:to>
      <xdr:col>11</xdr:col>
      <xdr:colOff>381000</xdr:colOff>
      <xdr:row>53</xdr:row>
      <xdr:rowOff>19050</xdr:rowOff>
    </xdr:to>
    <xdr:sp macro="" textlink="">
      <xdr:nvSpPr>
        <xdr:cNvPr id="18548" name="Line 116"/>
        <xdr:cNvSpPr>
          <a:spLocks noChangeShapeType="1"/>
        </xdr:cNvSpPr>
      </xdr:nvSpPr>
      <xdr:spPr bwMode="auto">
        <a:xfrm>
          <a:off x="4210050" y="9220200"/>
          <a:ext cx="381000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53</xdr:row>
      <xdr:rowOff>28575</xdr:rowOff>
    </xdr:from>
    <xdr:to>
      <xdr:col>11</xdr:col>
      <xdr:colOff>0</xdr:colOff>
      <xdr:row>53</xdr:row>
      <xdr:rowOff>152400</xdr:rowOff>
    </xdr:to>
    <xdr:sp macro="" textlink="">
      <xdr:nvSpPr>
        <xdr:cNvPr id="18549" name="Line 117"/>
        <xdr:cNvSpPr>
          <a:spLocks noChangeShapeType="1"/>
        </xdr:cNvSpPr>
      </xdr:nvSpPr>
      <xdr:spPr bwMode="auto">
        <a:xfrm>
          <a:off x="4210050" y="9229725"/>
          <a:ext cx="0" cy="1238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9525</xdr:colOff>
      <xdr:row>53</xdr:row>
      <xdr:rowOff>19050</xdr:rowOff>
    </xdr:from>
    <xdr:to>
      <xdr:col>12</xdr:col>
      <xdr:colOff>9525</xdr:colOff>
      <xdr:row>53</xdr:row>
      <xdr:rowOff>142875</xdr:rowOff>
    </xdr:to>
    <xdr:sp macro="" textlink="">
      <xdr:nvSpPr>
        <xdr:cNvPr id="18550" name="Line 118"/>
        <xdr:cNvSpPr>
          <a:spLocks noChangeShapeType="1"/>
        </xdr:cNvSpPr>
      </xdr:nvSpPr>
      <xdr:spPr bwMode="auto">
        <a:xfrm>
          <a:off x="4600575" y="9220200"/>
          <a:ext cx="0" cy="1238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314325</xdr:colOff>
      <xdr:row>56</xdr:row>
      <xdr:rowOff>0</xdr:rowOff>
    </xdr:from>
    <xdr:to>
      <xdr:col>12</xdr:col>
      <xdr:colOff>104775</xdr:colOff>
      <xdr:row>56</xdr:row>
      <xdr:rowOff>0</xdr:rowOff>
    </xdr:to>
    <xdr:sp macro="" textlink="">
      <xdr:nvSpPr>
        <xdr:cNvPr id="18551" name="Line 119"/>
        <xdr:cNvSpPr>
          <a:spLocks noChangeShapeType="1"/>
        </xdr:cNvSpPr>
      </xdr:nvSpPr>
      <xdr:spPr bwMode="auto">
        <a:xfrm>
          <a:off x="4133850" y="9686925"/>
          <a:ext cx="56197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314325</xdr:colOff>
      <xdr:row>55</xdr:row>
      <xdr:rowOff>19050</xdr:rowOff>
    </xdr:from>
    <xdr:to>
      <xdr:col>10</xdr:col>
      <xdr:colOff>314325</xdr:colOff>
      <xdr:row>56</xdr:row>
      <xdr:rowOff>0</xdr:rowOff>
    </xdr:to>
    <xdr:sp macro="" textlink="">
      <xdr:nvSpPr>
        <xdr:cNvPr id="18552" name="Line 120"/>
        <xdr:cNvSpPr>
          <a:spLocks noChangeShapeType="1"/>
        </xdr:cNvSpPr>
      </xdr:nvSpPr>
      <xdr:spPr bwMode="auto">
        <a:xfrm flipV="1">
          <a:off x="4133850" y="9544050"/>
          <a:ext cx="0" cy="14287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95250</xdr:colOff>
      <xdr:row>55</xdr:row>
      <xdr:rowOff>19050</xdr:rowOff>
    </xdr:from>
    <xdr:to>
      <xdr:col>12</xdr:col>
      <xdr:colOff>95250</xdr:colOff>
      <xdr:row>56</xdr:row>
      <xdr:rowOff>0</xdr:rowOff>
    </xdr:to>
    <xdr:sp macro="" textlink="">
      <xdr:nvSpPr>
        <xdr:cNvPr id="18553" name="Line 121"/>
        <xdr:cNvSpPr>
          <a:spLocks noChangeShapeType="1"/>
        </xdr:cNvSpPr>
      </xdr:nvSpPr>
      <xdr:spPr bwMode="auto">
        <a:xfrm flipV="1">
          <a:off x="4686300" y="9544050"/>
          <a:ext cx="0" cy="14287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304800</xdr:colOff>
      <xdr:row>53</xdr:row>
      <xdr:rowOff>133350</xdr:rowOff>
    </xdr:from>
    <xdr:to>
      <xdr:col>10</xdr:col>
      <xdr:colOff>400050</xdr:colOff>
      <xdr:row>55</xdr:row>
      <xdr:rowOff>28575</xdr:rowOff>
    </xdr:to>
    <xdr:sp macro="" textlink="">
      <xdr:nvSpPr>
        <xdr:cNvPr id="18554" name="Line 122"/>
        <xdr:cNvSpPr>
          <a:spLocks noChangeShapeType="1"/>
        </xdr:cNvSpPr>
      </xdr:nvSpPr>
      <xdr:spPr bwMode="auto">
        <a:xfrm flipV="1">
          <a:off x="4124325" y="9334500"/>
          <a:ext cx="85725" cy="21907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9525</xdr:colOff>
      <xdr:row>53</xdr:row>
      <xdr:rowOff>114300</xdr:rowOff>
    </xdr:from>
    <xdr:to>
      <xdr:col>12</xdr:col>
      <xdr:colOff>95250</xdr:colOff>
      <xdr:row>55</xdr:row>
      <xdr:rowOff>19050</xdr:rowOff>
    </xdr:to>
    <xdr:sp macro="" textlink="">
      <xdr:nvSpPr>
        <xdr:cNvPr id="18555" name="Line 123"/>
        <xdr:cNvSpPr>
          <a:spLocks noChangeShapeType="1"/>
        </xdr:cNvSpPr>
      </xdr:nvSpPr>
      <xdr:spPr bwMode="auto">
        <a:xfrm>
          <a:off x="4600575" y="9315450"/>
          <a:ext cx="85725" cy="22860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200025</xdr:colOff>
      <xdr:row>52</xdr:row>
      <xdr:rowOff>9525</xdr:rowOff>
    </xdr:from>
    <xdr:to>
      <xdr:col>11</xdr:col>
      <xdr:colOff>200025</xdr:colOff>
      <xdr:row>57</xdr:row>
      <xdr:rowOff>38100</xdr:rowOff>
    </xdr:to>
    <xdr:sp macro="" textlink="">
      <xdr:nvSpPr>
        <xdr:cNvPr id="18556" name="Line 124"/>
        <xdr:cNvSpPr>
          <a:spLocks noChangeShapeType="1"/>
        </xdr:cNvSpPr>
      </xdr:nvSpPr>
      <xdr:spPr bwMode="auto">
        <a:xfrm>
          <a:off x="4410075" y="9048750"/>
          <a:ext cx="0" cy="83820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85725</xdr:colOff>
      <xdr:row>53</xdr:row>
      <xdr:rowOff>28575</xdr:rowOff>
    </xdr:from>
    <xdr:to>
      <xdr:col>13</xdr:col>
      <xdr:colOff>200025</xdr:colOff>
      <xdr:row>53</xdr:row>
      <xdr:rowOff>28575</xdr:rowOff>
    </xdr:to>
    <xdr:sp macro="" textlink="">
      <xdr:nvSpPr>
        <xdr:cNvPr id="18557" name="Line 125"/>
        <xdr:cNvSpPr>
          <a:spLocks noChangeShapeType="1"/>
        </xdr:cNvSpPr>
      </xdr:nvSpPr>
      <xdr:spPr bwMode="auto">
        <a:xfrm>
          <a:off x="4676775" y="9229725"/>
          <a:ext cx="5619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142875</xdr:colOff>
      <xdr:row>56</xdr:row>
      <xdr:rowOff>0</xdr:rowOff>
    </xdr:from>
    <xdr:to>
      <xdr:col>13</xdr:col>
      <xdr:colOff>180975</xdr:colOff>
      <xdr:row>56</xdr:row>
      <xdr:rowOff>0</xdr:rowOff>
    </xdr:to>
    <xdr:sp macro="" textlink="">
      <xdr:nvSpPr>
        <xdr:cNvPr id="18558" name="Line 126"/>
        <xdr:cNvSpPr>
          <a:spLocks noChangeShapeType="1"/>
        </xdr:cNvSpPr>
      </xdr:nvSpPr>
      <xdr:spPr bwMode="auto">
        <a:xfrm flipV="1">
          <a:off x="4733925" y="9686925"/>
          <a:ext cx="4857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123825</xdr:colOff>
      <xdr:row>53</xdr:row>
      <xdr:rowOff>9525</xdr:rowOff>
    </xdr:from>
    <xdr:to>
      <xdr:col>13</xdr:col>
      <xdr:colOff>123825</xdr:colOff>
      <xdr:row>56</xdr:row>
      <xdr:rowOff>19050</xdr:rowOff>
    </xdr:to>
    <xdr:sp macro="" textlink="">
      <xdr:nvSpPr>
        <xdr:cNvPr id="18559" name="Line 127"/>
        <xdr:cNvSpPr>
          <a:spLocks noChangeShapeType="1"/>
        </xdr:cNvSpPr>
      </xdr:nvSpPr>
      <xdr:spPr bwMode="auto">
        <a:xfrm>
          <a:off x="5162550" y="9210675"/>
          <a:ext cx="0" cy="49530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13</xdr:col>
      <xdr:colOff>142875</xdr:colOff>
      <xdr:row>54</xdr:row>
      <xdr:rowOff>9525</xdr:rowOff>
    </xdr:from>
    <xdr:ext cx="209550" cy="238125"/>
    <xdr:sp macro="" textlink="">
      <xdr:nvSpPr>
        <xdr:cNvPr id="18560" name="Text Box 128"/>
        <xdr:cNvSpPr txBox="1">
          <a:spLocks noChangeArrowheads="1"/>
        </xdr:cNvSpPr>
      </xdr:nvSpPr>
      <xdr:spPr bwMode="auto">
        <a:xfrm>
          <a:off x="5181600" y="9372600"/>
          <a:ext cx="2095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FF00FF"/>
              </a:solidFill>
              <a:latin typeface="Arial"/>
              <a:cs typeface="Arial"/>
            </a:rPr>
            <a:t>H</a:t>
          </a:r>
        </a:p>
      </xdr:txBody>
    </xdr:sp>
    <xdr:clientData/>
  </xdr:oneCellAnchor>
  <xdr:twoCellAnchor>
    <xdr:from>
      <xdr:col>15</xdr:col>
      <xdr:colOff>9525</xdr:colOff>
      <xdr:row>56</xdr:row>
      <xdr:rowOff>0</xdr:rowOff>
    </xdr:from>
    <xdr:to>
      <xdr:col>16</xdr:col>
      <xdr:colOff>152400</xdr:colOff>
      <xdr:row>56</xdr:row>
      <xdr:rowOff>0</xdr:rowOff>
    </xdr:to>
    <xdr:sp macro="" textlink="">
      <xdr:nvSpPr>
        <xdr:cNvPr id="18561" name="Line 129"/>
        <xdr:cNvSpPr>
          <a:spLocks noChangeShapeType="1"/>
        </xdr:cNvSpPr>
      </xdr:nvSpPr>
      <xdr:spPr bwMode="auto">
        <a:xfrm>
          <a:off x="5848350" y="9686925"/>
          <a:ext cx="628650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53</xdr:row>
      <xdr:rowOff>19050</xdr:rowOff>
    </xdr:from>
    <xdr:to>
      <xdr:col>15</xdr:col>
      <xdr:colOff>390525</xdr:colOff>
      <xdr:row>53</xdr:row>
      <xdr:rowOff>19050</xdr:rowOff>
    </xdr:to>
    <xdr:sp macro="" textlink="">
      <xdr:nvSpPr>
        <xdr:cNvPr id="18562" name="Line 130"/>
        <xdr:cNvSpPr>
          <a:spLocks noChangeShapeType="1"/>
        </xdr:cNvSpPr>
      </xdr:nvSpPr>
      <xdr:spPr bwMode="auto">
        <a:xfrm>
          <a:off x="5838825" y="9220200"/>
          <a:ext cx="39052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123825</xdr:colOff>
      <xdr:row>55</xdr:row>
      <xdr:rowOff>9525</xdr:rowOff>
    </xdr:from>
    <xdr:to>
      <xdr:col>16</xdr:col>
      <xdr:colOff>123825</xdr:colOff>
      <xdr:row>55</xdr:row>
      <xdr:rowOff>152400</xdr:rowOff>
    </xdr:to>
    <xdr:sp macro="" textlink="">
      <xdr:nvSpPr>
        <xdr:cNvPr id="18563" name="Line 131"/>
        <xdr:cNvSpPr>
          <a:spLocks noChangeShapeType="1"/>
        </xdr:cNvSpPr>
      </xdr:nvSpPr>
      <xdr:spPr bwMode="auto">
        <a:xfrm flipV="1">
          <a:off x="6448425" y="9534525"/>
          <a:ext cx="0" cy="14287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53</xdr:row>
      <xdr:rowOff>19050</xdr:rowOff>
    </xdr:from>
    <xdr:to>
      <xdr:col>15</xdr:col>
      <xdr:colOff>0</xdr:colOff>
      <xdr:row>56</xdr:row>
      <xdr:rowOff>19050</xdr:rowOff>
    </xdr:to>
    <xdr:sp macro="" textlink="">
      <xdr:nvSpPr>
        <xdr:cNvPr id="18564" name="Line 132"/>
        <xdr:cNvSpPr>
          <a:spLocks noChangeShapeType="1"/>
        </xdr:cNvSpPr>
      </xdr:nvSpPr>
      <xdr:spPr bwMode="auto">
        <a:xfrm>
          <a:off x="5838825" y="9220200"/>
          <a:ext cx="0" cy="48577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371475</xdr:colOff>
      <xdr:row>53</xdr:row>
      <xdr:rowOff>28575</xdr:rowOff>
    </xdr:from>
    <xdr:to>
      <xdr:col>15</xdr:col>
      <xdr:colOff>371475</xdr:colOff>
      <xdr:row>53</xdr:row>
      <xdr:rowOff>152400</xdr:rowOff>
    </xdr:to>
    <xdr:sp macro="" textlink="">
      <xdr:nvSpPr>
        <xdr:cNvPr id="18565" name="Line 133"/>
        <xdr:cNvSpPr>
          <a:spLocks noChangeShapeType="1"/>
        </xdr:cNvSpPr>
      </xdr:nvSpPr>
      <xdr:spPr bwMode="auto">
        <a:xfrm>
          <a:off x="6210300" y="9229725"/>
          <a:ext cx="0" cy="1238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371475</xdr:colOff>
      <xdr:row>53</xdr:row>
      <xdr:rowOff>142875</xdr:rowOff>
    </xdr:from>
    <xdr:to>
      <xdr:col>16</xdr:col>
      <xdr:colOff>114300</xdr:colOff>
      <xdr:row>55</xdr:row>
      <xdr:rowOff>9525</xdr:rowOff>
    </xdr:to>
    <xdr:sp macro="" textlink="">
      <xdr:nvSpPr>
        <xdr:cNvPr id="18566" name="Line 134"/>
        <xdr:cNvSpPr>
          <a:spLocks noChangeShapeType="1"/>
        </xdr:cNvSpPr>
      </xdr:nvSpPr>
      <xdr:spPr bwMode="auto">
        <a:xfrm>
          <a:off x="6210300" y="9344025"/>
          <a:ext cx="228600" cy="19050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180975</xdr:colOff>
      <xdr:row>51</xdr:row>
      <xdr:rowOff>152400</xdr:rowOff>
    </xdr:from>
    <xdr:to>
      <xdr:col>15</xdr:col>
      <xdr:colOff>180975</xdr:colOff>
      <xdr:row>53</xdr:row>
      <xdr:rowOff>123825</xdr:rowOff>
    </xdr:to>
    <xdr:sp macro="" textlink="">
      <xdr:nvSpPr>
        <xdr:cNvPr id="18567" name="Line 135"/>
        <xdr:cNvSpPr>
          <a:spLocks noChangeShapeType="1"/>
        </xdr:cNvSpPr>
      </xdr:nvSpPr>
      <xdr:spPr bwMode="auto">
        <a:xfrm>
          <a:off x="6019800" y="9029700"/>
          <a:ext cx="0" cy="29527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276225</xdr:colOff>
      <xdr:row>54</xdr:row>
      <xdr:rowOff>133350</xdr:rowOff>
    </xdr:from>
    <xdr:to>
      <xdr:col>15</xdr:col>
      <xdr:colOff>276225</xdr:colOff>
      <xdr:row>57</xdr:row>
      <xdr:rowOff>9525</xdr:rowOff>
    </xdr:to>
    <xdr:sp macro="" textlink="">
      <xdr:nvSpPr>
        <xdr:cNvPr id="18568" name="Line 136"/>
        <xdr:cNvSpPr>
          <a:spLocks noChangeShapeType="1"/>
        </xdr:cNvSpPr>
      </xdr:nvSpPr>
      <xdr:spPr bwMode="auto">
        <a:xfrm>
          <a:off x="6115050" y="9496425"/>
          <a:ext cx="0" cy="3619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0</xdr:colOff>
      <xdr:row>53</xdr:row>
      <xdr:rowOff>9525</xdr:rowOff>
    </xdr:from>
    <xdr:to>
      <xdr:col>17</xdr:col>
      <xdr:colOff>95250</xdr:colOff>
      <xdr:row>53</xdr:row>
      <xdr:rowOff>9525</xdr:rowOff>
    </xdr:to>
    <xdr:sp macro="" textlink="">
      <xdr:nvSpPr>
        <xdr:cNvPr id="18569" name="Line 137"/>
        <xdr:cNvSpPr>
          <a:spLocks noChangeShapeType="1"/>
        </xdr:cNvSpPr>
      </xdr:nvSpPr>
      <xdr:spPr bwMode="auto">
        <a:xfrm>
          <a:off x="6324600" y="9210675"/>
          <a:ext cx="5524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190500</xdr:colOff>
      <xdr:row>55</xdr:row>
      <xdr:rowOff>152400</xdr:rowOff>
    </xdr:from>
    <xdr:to>
      <xdr:col>17</xdr:col>
      <xdr:colOff>95250</xdr:colOff>
      <xdr:row>55</xdr:row>
      <xdr:rowOff>152400</xdr:rowOff>
    </xdr:to>
    <xdr:sp macro="" textlink="">
      <xdr:nvSpPr>
        <xdr:cNvPr id="18570" name="Line 138"/>
        <xdr:cNvSpPr>
          <a:spLocks noChangeShapeType="1"/>
        </xdr:cNvSpPr>
      </xdr:nvSpPr>
      <xdr:spPr bwMode="auto">
        <a:xfrm flipV="1">
          <a:off x="6515100" y="9677400"/>
          <a:ext cx="3619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17</xdr:col>
      <xdr:colOff>38100</xdr:colOff>
      <xdr:row>54</xdr:row>
      <xdr:rowOff>9525</xdr:rowOff>
    </xdr:from>
    <xdr:ext cx="209550" cy="238125"/>
    <xdr:sp macro="" textlink="">
      <xdr:nvSpPr>
        <xdr:cNvPr id="18571" name="Text Box 139"/>
        <xdr:cNvSpPr txBox="1">
          <a:spLocks noChangeArrowheads="1"/>
        </xdr:cNvSpPr>
      </xdr:nvSpPr>
      <xdr:spPr bwMode="auto">
        <a:xfrm>
          <a:off x="6819900" y="9372600"/>
          <a:ext cx="2095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FF00FF"/>
              </a:solidFill>
              <a:latin typeface="Arial"/>
              <a:cs typeface="Arial"/>
            </a:rPr>
            <a:t>H</a:t>
          </a:r>
        </a:p>
      </xdr:txBody>
    </xdr:sp>
    <xdr:clientData/>
  </xdr:oneCellAnchor>
  <xdr:twoCellAnchor>
    <xdr:from>
      <xdr:col>17</xdr:col>
      <xdr:colOff>0</xdr:colOff>
      <xdr:row>53</xdr:row>
      <xdr:rowOff>9525</xdr:rowOff>
    </xdr:from>
    <xdr:to>
      <xdr:col>17</xdr:col>
      <xdr:colOff>0</xdr:colOff>
      <xdr:row>56</xdr:row>
      <xdr:rowOff>19050</xdr:rowOff>
    </xdr:to>
    <xdr:sp macro="" textlink="">
      <xdr:nvSpPr>
        <xdr:cNvPr id="18572" name="Line 140"/>
        <xdr:cNvSpPr>
          <a:spLocks noChangeShapeType="1"/>
        </xdr:cNvSpPr>
      </xdr:nvSpPr>
      <xdr:spPr bwMode="auto">
        <a:xfrm>
          <a:off x="6781800" y="9210675"/>
          <a:ext cx="0" cy="49530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10</xdr:col>
      <xdr:colOff>142875</xdr:colOff>
      <xdr:row>57</xdr:row>
      <xdr:rowOff>0</xdr:rowOff>
    </xdr:from>
    <xdr:ext cx="962025" cy="200025"/>
    <xdr:sp macro="" textlink="">
      <xdr:nvSpPr>
        <xdr:cNvPr id="18573" name="Text Box 141"/>
        <xdr:cNvSpPr txBox="1">
          <a:spLocks noChangeArrowheads="1"/>
        </xdr:cNvSpPr>
      </xdr:nvSpPr>
      <xdr:spPr bwMode="auto">
        <a:xfrm>
          <a:off x="3962400" y="9848850"/>
          <a:ext cx="9620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FF0000"/>
              </a:solidFill>
              <a:latin typeface="Arial"/>
              <a:cs typeface="Arial"/>
            </a:rPr>
            <a:t>Conc. Reducer</a:t>
          </a:r>
        </a:p>
      </xdr:txBody>
    </xdr:sp>
    <xdr:clientData/>
  </xdr:oneCellAnchor>
  <xdr:oneCellAnchor>
    <xdr:from>
      <xdr:col>14</xdr:col>
      <xdr:colOff>238125</xdr:colOff>
      <xdr:row>57</xdr:row>
      <xdr:rowOff>0</xdr:rowOff>
    </xdr:from>
    <xdr:ext cx="1171575" cy="200025"/>
    <xdr:sp macro="" textlink="">
      <xdr:nvSpPr>
        <xdr:cNvPr id="18574" name="Text Box 142"/>
        <xdr:cNvSpPr txBox="1">
          <a:spLocks noChangeArrowheads="1"/>
        </xdr:cNvSpPr>
      </xdr:nvSpPr>
      <xdr:spPr bwMode="auto">
        <a:xfrm>
          <a:off x="5734050" y="9848850"/>
          <a:ext cx="11715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FF0000"/>
              </a:solidFill>
              <a:latin typeface="Arial"/>
              <a:cs typeface="Arial"/>
            </a:rPr>
            <a:t>Eccentric Reducer</a:t>
          </a:r>
        </a:p>
      </xdr:txBody>
    </xdr:sp>
    <xdr:clientData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4</xdr:row>
      <xdr:rowOff>0</xdr:rowOff>
    </xdr:from>
    <xdr:to>
      <xdr:col>2</xdr:col>
      <xdr:colOff>276225</xdr:colOff>
      <xdr:row>4</xdr:row>
      <xdr:rowOff>66675</xdr:rowOff>
    </xdr:to>
    <xdr:sp macro="" textlink="">
      <xdr:nvSpPr>
        <xdr:cNvPr id="19457" name="Rectangle 1"/>
        <xdr:cNvSpPr>
          <a:spLocks noChangeArrowheads="1"/>
        </xdr:cNvSpPr>
      </xdr:nvSpPr>
      <xdr:spPr bwMode="auto">
        <a:xfrm>
          <a:off x="504825" y="647700"/>
          <a:ext cx="800100" cy="666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19050</xdr:colOff>
      <xdr:row>4</xdr:row>
      <xdr:rowOff>95250</xdr:rowOff>
    </xdr:from>
    <xdr:to>
      <xdr:col>1</xdr:col>
      <xdr:colOff>19050</xdr:colOff>
      <xdr:row>6</xdr:row>
      <xdr:rowOff>85725</xdr:rowOff>
    </xdr:to>
    <xdr:sp macro="" textlink="">
      <xdr:nvSpPr>
        <xdr:cNvPr id="19458" name="Line 2"/>
        <xdr:cNvSpPr>
          <a:spLocks noChangeShapeType="1"/>
        </xdr:cNvSpPr>
      </xdr:nvSpPr>
      <xdr:spPr bwMode="auto">
        <a:xfrm>
          <a:off x="504825" y="742950"/>
          <a:ext cx="0" cy="3143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276225</xdr:colOff>
      <xdr:row>4</xdr:row>
      <xdr:rowOff>95250</xdr:rowOff>
    </xdr:from>
    <xdr:to>
      <xdr:col>2</xdr:col>
      <xdr:colOff>276225</xdr:colOff>
      <xdr:row>6</xdr:row>
      <xdr:rowOff>85725</xdr:rowOff>
    </xdr:to>
    <xdr:sp macro="" textlink="">
      <xdr:nvSpPr>
        <xdr:cNvPr id="19459" name="Line 3"/>
        <xdr:cNvSpPr>
          <a:spLocks noChangeShapeType="1"/>
        </xdr:cNvSpPr>
      </xdr:nvSpPr>
      <xdr:spPr bwMode="auto">
        <a:xfrm>
          <a:off x="1304925" y="742950"/>
          <a:ext cx="0" cy="3143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85725</xdr:colOff>
      <xdr:row>4</xdr:row>
      <xdr:rowOff>19050</xdr:rowOff>
    </xdr:from>
    <xdr:to>
      <xdr:col>5</xdr:col>
      <xdr:colOff>409575</xdr:colOff>
      <xdr:row>4</xdr:row>
      <xdr:rowOff>85725</xdr:rowOff>
    </xdr:to>
    <xdr:sp macro="" textlink="">
      <xdr:nvSpPr>
        <xdr:cNvPr id="19460" name="Rectangle 4"/>
        <xdr:cNvSpPr>
          <a:spLocks noChangeArrowheads="1"/>
        </xdr:cNvSpPr>
      </xdr:nvSpPr>
      <xdr:spPr bwMode="auto">
        <a:xfrm>
          <a:off x="2228850" y="666750"/>
          <a:ext cx="819150" cy="666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342900</xdr:colOff>
      <xdr:row>4</xdr:row>
      <xdr:rowOff>28575</xdr:rowOff>
    </xdr:from>
    <xdr:to>
      <xdr:col>9</xdr:col>
      <xdr:colOff>428625</xdr:colOff>
      <xdr:row>4</xdr:row>
      <xdr:rowOff>95250</xdr:rowOff>
    </xdr:to>
    <xdr:sp macro="" textlink="">
      <xdr:nvSpPr>
        <xdr:cNvPr id="19461" name="Rectangle 5"/>
        <xdr:cNvSpPr>
          <a:spLocks noChangeArrowheads="1"/>
        </xdr:cNvSpPr>
      </xdr:nvSpPr>
      <xdr:spPr bwMode="auto">
        <a:xfrm>
          <a:off x="4152900" y="676275"/>
          <a:ext cx="857250" cy="666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276225</xdr:colOff>
      <xdr:row>4</xdr:row>
      <xdr:rowOff>85725</xdr:rowOff>
    </xdr:from>
    <xdr:to>
      <xdr:col>12</xdr:col>
      <xdr:colOff>457200</xdr:colOff>
      <xdr:row>4</xdr:row>
      <xdr:rowOff>152400</xdr:rowOff>
    </xdr:to>
    <xdr:sp macro="" textlink="">
      <xdr:nvSpPr>
        <xdr:cNvPr id="19462" name="Rectangle 6"/>
        <xdr:cNvSpPr>
          <a:spLocks noChangeArrowheads="1"/>
        </xdr:cNvSpPr>
      </xdr:nvSpPr>
      <xdr:spPr bwMode="auto">
        <a:xfrm>
          <a:off x="5934075" y="733425"/>
          <a:ext cx="723900" cy="666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miter lim="800000"/>
          <a:headEnd/>
          <a:tailEnd/>
        </a:ln>
      </xdr:spPr>
    </xdr:sp>
    <xdr:clientData/>
  </xdr:twoCellAnchor>
  <xdr:twoCellAnchor>
    <xdr:from>
      <xdr:col>14</xdr:col>
      <xdr:colOff>381000</xdr:colOff>
      <xdr:row>4</xdr:row>
      <xdr:rowOff>47625</xdr:rowOff>
    </xdr:from>
    <xdr:to>
      <xdr:col>15</xdr:col>
      <xdr:colOff>561975</xdr:colOff>
      <xdr:row>4</xdr:row>
      <xdr:rowOff>114300</xdr:rowOff>
    </xdr:to>
    <xdr:sp macro="" textlink="">
      <xdr:nvSpPr>
        <xdr:cNvPr id="19463" name="Rectangle 7"/>
        <xdr:cNvSpPr>
          <a:spLocks noChangeArrowheads="1"/>
        </xdr:cNvSpPr>
      </xdr:nvSpPr>
      <xdr:spPr bwMode="auto">
        <a:xfrm>
          <a:off x="7534275" y="695325"/>
          <a:ext cx="666750" cy="666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428625</xdr:colOff>
      <xdr:row>1</xdr:row>
      <xdr:rowOff>142875</xdr:rowOff>
    </xdr:from>
    <xdr:to>
      <xdr:col>1</xdr:col>
      <xdr:colOff>428625</xdr:colOff>
      <xdr:row>5</xdr:row>
      <xdr:rowOff>38100</xdr:rowOff>
    </xdr:to>
    <xdr:sp macro="" textlink="">
      <xdr:nvSpPr>
        <xdr:cNvPr id="19464" name="Line 8"/>
        <xdr:cNvSpPr>
          <a:spLocks noChangeShapeType="1"/>
        </xdr:cNvSpPr>
      </xdr:nvSpPr>
      <xdr:spPr bwMode="auto">
        <a:xfrm flipV="1">
          <a:off x="914400" y="304800"/>
          <a:ext cx="0" cy="5429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257175</xdr:colOff>
      <xdr:row>2</xdr:row>
      <xdr:rowOff>57150</xdr:rowOff>
    </xdr:from>
    <xdr:to>
      <xdr:col>2</xdr:col>
      <xdr:colOff>47625</xdr:colOff>
      <xdr:row>2</xdr:row>
      <xdr:rowOff>57150</xdr:rowOff>
    </xdr:to>
    <xdr:sp macro="" textlink="">
      <xdr:nvSpPr>
        <xdr:cNvPr id="19465" name="Line 9"/>
        <xdr:cNvSpPr>
          <a:spLocks noChangeShapeType="1"/>
        </xdr:cNvSpPr>
      </xdr:nvSpPr>
      <xdr:spPr bwMode="auto">
        <a:xfrm>
          <a:off x="742950" y="381000"/>
          <a:ext cx="33337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2</xdr:row>
      <xdr:rowOff>57150</xdr:rowOff>
    </xdr:from>
    <xdr:to>
      <xdr:col>3</xdr:col>
      <xdr:colOff>47625</xdr:colOff>
      <xdr:row>2</xdr:row>
      <xdr:rowOff>57150</xdr:rowOff>
    </xdr:to>
    <xdr:sp macro="" textlink="">
      <xdr:nvSpPr>
        <xdr:cNvPr id="19466" name="Line 10"/>
        <xdr:cNvSpPr>
          <a:spLocks noChangeShapeType="1"/>
        </xdr:cNvSpPr>
      </xdr:nvSpPr>
      <xdr:spPr bwMode="auto">
        <a:xfrm>
          <a:off x="1114425" y="381000"/>
          <a:ext cx="466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323850</xdr:colOff>
      <xdr:row>4</xdr:row>
      <xdr:rowOff>104775</xdr:rowOff>
    </xdr:from>
    <xdr:to>
      <xdr:col>3</xdr:col>
      <xdr:colOff>57150</xdr:colOff>
      <xdr:row>4</xdr:row>
      <xdr:rowOff>104775</xdr:rowOff>
    </xdr:to>
    <xdr:sp macro="" textlink="">
      <xdr:nvSpPr>
        <xdr:cNvPr id="19467" name="Line 11"/>
        <xdr:cNvSpPr>
          <a:spLocks noChangeShapeType="1"/>
        </xdr:cNvSpPr>
      </xdr:nvSpPr>
      <xdr:spPr bwMode="auto">
        <a:xfrm flipV="1">
          <a:off x="1352550" y="752475"/>
          <a:ext cx="2381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38100</xdr:colOff>
      <xdr:row>2</xdr:row>
      <xdr:rowOff>57150</xdr:rowOff>
    </xdr:from>
    <xdr:to>
      <xdr:col>2</xdr:col>
      <xdr:colOff>38100</xdr:colOff>
      <xdr:row>2</xdr:row>
      <xdr:rowOff>104775</xdr:rowOff>
    </xdr:to>
    <xdr:sp macro="" textlink="">
      <xdr:nvSpPr>
        <xdr:cNvPr id="19468" name="Line 12"/>
        <xdr:cNvSpPr>
          <a:spLocks noChangeShapeType="1"/>
        </xdr:cNvSpPr>
      </xdr:nvSpPr>
      <xdr:spPr bwMode="auto">
        <a:xfrm>
          <a:off x="1066800" y="381000"/>
          <a:ext cx="0" cy="476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266700</xdr:colOff>
      <xdr:row>2</xdr:row>
      <xdr:rowOff>57150</xdr:rowOff>
    </xdr:from>
    <xdr:to>
      <xdr:col>1</xdr:col>
      <xdr:colOff>266700</xdr:colOff>
      <xdr:row>2</xdr:row>
      <xdr:rowOff>104775</xdr:rowOff>
    </xdr:to>
    <xdr:sp macro="" textlink="">
      <xdr:nvSpPr>
        <xdr:cNvPr id="19469" name="Line 13"/>
        <xdr:cNvSpPr>
          <a:spLocks noChangeShapeType="1"/>
        </xdr:cNvSpPr>
      </xdr:nvSpPr>
      <xdr:spPr bwMode="auto">
        <a:xfrm>
          <a:off x="752475" y="381000"/>
          <a:ext cx="0" cy="476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38100</xdr:colOff>
      <xdr:row>2</xdr:row>
      <xdr:rowOff>104775</xdr:rowOff>
    </xdr:from>
    <xdr:to>
      <xdr:col>2</xdr:col>
      <xdr:colOff>180975</xdr:colOff>
      <xdr:row>3</xdr:row>
      <xdr:rowOff>152400</xdr:rowOff>
    </xdr:to>
    <xdr:sp macro="" textlink="">
      <xdr:nvSpPr>
        <xdr:cNvPr id="19470" name="Line 14"/>
        <xdr:cNvSpPr>
          <a:spLocks noChangeShapeType="1"/>
        </xdr:cNvSpPr>
      </xdr:nvSpPr>
      <xdr:spPr bwMode="auto">
        <a:xfrm>
          <a:off x="1066800" y="428625"/>
          <a:ext cx="142875" cy="20955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104775</xdr:colOff>
      <xdr:row>2</xdr:row>
      <xdr:rowOff>95250</xdr:rowOff>
    </xdr:from>
    <xdr:to>
      <xdr:col>1</xdr:col>
      <xdr:colOff>257175</xdr:colOff>
      <xdr:row>4</xdr:row>
      <xdr:rowOff>0</xdr:rowOff>
    </xdr:to>
    <xdr:sp macro="" textlink="">
      <xdr:nvSpPr>
        <xdr:cNvPr id="19471" name="Line 15"/>
        <xdr:cNvSpPr>
          <a:spLocks noChangeShapeType="1"/>
        </xdr:cNvSpPr>
      </xdr:nvSpPr>
      <xdr:spPr bwMode="auto">
        <a:xfrm flipH="1">
          <a:off x="590550" y="419100"/>
          <a:ext cx="152400" cy="22860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19050</xdr:colOff>
      <xdr:row>6</xdr:row>
      <xdr:rowOff>57150</xdr:rowOff>
    </xdr:from>
    <xdr:to>
      <xdr:col>2</xdr:col>
      <xdr:colOff>285750</xdr:colOff>
      <xdr:row>6</xdr:row>
      <xdr:rowOff>57150</xdr:rowOff>
    </xdr:to>
    <xdr:sp macro="" textlink="">
      <xdr:nvSpPr>
        <xdr:cNvPr id="19472" name="Line 16"/>
        <xdr:cNvSpPr>
          <a:spLocks noChangeShapeType="1"/>
        </xdr:cNvSpPr>
      </xdr:nvSpPr>
      <xdr:spPr bwMode="auto">
        <a:xfrm flipV="1">
          <a:off x="504825" y="1028700"/>
          <a:ext cx="8096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352425</xdr:colOff>
      <xdr:row>5</xdr:row>
      <xdr:rowOff>38100</xdr:rowOff>
    </xdr:from>
    <xdr:to>
      <xdr:col>1</xdr:col>
      <xdr:colOff>533400</xdr:colOff>
      <xdr:row>6</xdr:row>
      <xdr:rowOff>95250</xdr:rowOff>
    </xdr:to>
    <xdr:sp macro="" textlink="">
      <xdr:nvSpPr>
        <xdr:cNvPr id="19473" name="Text Box 17"/>
        <xdr:cNvSpPr txBox="1">
          <a:spLocks noChangeArrowheads="1"/>
        </xdr:cNvSpPr>
      </xdr:nvSpPr>
      <xdr:spPr bwMode="auto">
        <a:xfrm>
          <a:off x="838200" y="847725"/>
          <a:ext cx="1809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O</a:t>
          </a:r>
        </a:p>
      </xdr:txBody>
    </xdr:sp>
    <xdr:clientData/>
  </xdr:twoCellAnchor>
  <xdr:twoCellAnchor>
    <xdr:from>
      <xdr:col>2</xdr:col>
      <xdr:colOff>457200</xdr:colOff>
      <xdr:row>2</xdr:row>
      <xdr:rowOff>57150</xdr:rowOff>
    </xdr:from>
    <xdr:to>
      <xdr:col>2</xdr:col>
      <xdr:colOff>457200</xdr:colOff>
      <xdr:row>4</xdr:row>
      <xdr:rowOff>104775</xdr:rowOff>
    </xdr:to>
    <xdr:sp macro="" textlink="">
      <xdr:nvSpPr>
        <xdr:cNvPr id="19474" name="Line 18"/>
        <xdr:cNvSpPr>
          <a:spLocks noChangeShapeType="1"/>
        </xdr:cNvSpPr>
      </xdr:nvSpPr>
      <xdr:spPr bwMode="auto">
        <a:xfrm>
          <a:off x="1485900" y="381000"/>
          <a:ext cx="0" cy="3714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</xdr:col>
      <xdr:colOff>28575</xdr:colOff>
      <xdr:row>2</xdr:row>
      <xdr:rowOff>142875</xdr:rowOff>
    </xdr:from>
    <xdr:to>
      <xdr:col>3</xdr:col>
      <xdr:colOff>228600</xdr:colOff>
      <xdr:row>4</xdr:row>
      <xdr:rowOff>9525</xdr:rowOff>
    </xdr:to>
    <xdr:sp macro="" textlink="">
      <xdr:nvSpPr>
        <xdr:cNvPr id="19475" name="Text Box 19"/>
        <xdr:cNvSpPr txBox="1">
          <a:spLocks noChangeArrowheads="1"/>
        </xdr:cNvSpPr>
      </xdr:nvSpPr>
      <xdr:spPr bwMode="auto">
        <a:xfrm>
          <a:off x="1562100" y="466725"/>
          <a:ext cx="2000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Y</a:t>
          </a:r>
        </a:p>
      </xdr:txBody>
    </xdr:sp>
    <xdr:clientData/>
  </xdr:twoCellAnchor>
  <xdr:twoCellAnchor>
    <xdr:from>
      <xdr:col>1</xdr:col>
      <xdr:colOff>142875</xdr:colOff>
      <xdr:row>4</xdr:row>
      <xdr:rowOff>76200</xdr:rowOff>
    </xdr:from>
    <xdr:to>
      <xdr:col>2</xdr:col>
      <xdr:colOff>171450</xdr:colOff>
      <xdr:row>4</xdr:row>
      <xdr:rowOff>104775</xdr:rowOff>
    </xdr:to>
    <xdr:sp macro="" textlink="">
      <xdr:nvSpPr>
        <xdr:cNvPr id="19476" name="Rectangle 20"/>
        <xdr:cNvSpPr>
          <a:spLocks noChangeArrowheads="1"/>
        </xdr:cNvSpPr>
      </xdr:nvSpPr>
      <xdr:spPr bwMode="auto">
        <a:xfrm>
          <a:off x="628650" y="723900"/>
          <a:ext cx="571500" cy="28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905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4</xdr:row>
      <xdr:rowOff>104775</xdr:rowOff>
    </xdr:from>
    <xdr:to>
      <xdr:col>1</xdr:col>
      <xdr:colOff>95250</xdr:colOff>
      <xdr:row>4</xdr:row>
      <xdr:rowOff>104775</xdr:rowOff>
    </xdr:to>
    <xdr:sp macro="" textlink="">
      <xdr:nvSpPr>
        <xdr:cNvPr id="19477" name="Line 21"/>
        <xdr:cNvSpPr>
          <a:spLocks noChangeShapeType="1"/>
        </xdr:cNvSpPr>
      </xdr:nvSpPr>
      <xdr:spPr bwMode="auto">
        <a:xfrm>
          <a:off x="209550" y="752475"/>
          <a:ext cx="3714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209550</xdr:colOff>
      <xdr:row>4</xdr:row>
      <xdr:rowOff>0</xdr:rowOff>
    </xdr:from>
    <xdr:to>
      <xdr:col>0</xdr:col>
      <xdr:colOff>466725</xdr:colOff>
      <xdr:row>4</xdr:row>
      <xdr:rowOff>0</xdr:rowOff>
    </xdr:to>
    <xdr:sp macro="" textlink="">
      <xdr:nvSpPr>
        <xdr:cNvPr id="19478" name="Line 22"/>
        <xdr:cNvSpPr>
          <a:spLocks noChangeShapeType="1"/>
        </xdr:cNvSpPr>
      </xdr:nvSpPr>
      <xdr:spPr bwMode="auto">
        <a:xfrm>
          <a:off x="209550" y="647700"/>
          <a:ext cx="2571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247650</xdr:colOff>
      <xdr:row>2</xdr:row>
      <xdr:rowOff>85725</xdr:rowOff>
    </xdr:from>
    <xdr:to>
      <xdr:col>0</xdr:col>
      <xdr:colOff>247650</xdr:colOff>
      <xdr:row>3</xdr:row>
      <xdr:rowOff>152400</xdr:rowOff>
    </xdr:to>
    <xdr:sp macro="" textlink="">
      <xdr:nvSpPr>
        <xdr:cNvPr id="19479" name="Line 23"/>
        <xdr:cNvSpPr>
          <a:spLocks noChangeShapeType="1"/>
        </xdr:cNvSpPr>
      </xdr:nvSpPr>
      <xdr:spPr bwMode="auto">
        <a:xfrm flipV="1">
          <a:off x="247650" y="409575"/>
          <a:ext cx="0" cy="228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247650</xdr:colOff>
      <xdr:row>2</xdr:row>
      <xdr:rowOff>85725</xdr:rowOff>
    </xdr:from>
    <xdr:to>
      <xdr:col>0</xdr:col>
      <xdr:colOff>304800</xdr:colOff>
      <xdr:row>2</xdr:row>
      <xdr:rowOff>85725</xdr:rowOff>
    </xdr:to>
    <xdr:sp macro="" textlink="">
      <xdr:nvSpPr>
        <xdr:cNvPr id="19480" name="Line 24"/>
        <xdr:cNvSpPr>
          <a:spLocks noChangeShapeType="1"/>
        </xdr:cNvSpPr>
      </xdr:nvSpPr>
      <xdr:spPr bwMode="auto">
        <a:xfrm>
          <a:off x="247650" y="409575"/>
          <a:ext cx="571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247650</xdr:colOff>
      <xdr:row>4</xdr:row>
      <xdr:rowOff>104775</xdr:rowOff>
    </xdr:from>
    <xdr:to>
      <xdr:col>0</xdr:col>
      <xdr:colOff>247650</xdr:colOff>
      <xdr:row>5</xdr:row>
      <xdr:rowOff>152400</xdr:rowOff>
    </xdr:to>
    <xdr:sp macro="" textlink="">
      <xdr:nvSpPr>
        <xdr:cNvPr id="19481" name="Line 25"/>
        <xdr:cNvSpPr>
          <a:spLocks noChangeShapeType="1"/>
        </xdr:cNvSpPr>
      </xdr:nvSpPr>
      <xdr:spPr bwMode="auto">
        <a:xfrm>
          <a:off x="247650" y="752475"/>
          <a:ext cx="0" cy="2095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0</xdr:col>
      <xdr:colOff>323850</xdr:colOff>
      <xdr:row>1</xdr:row>
      <xdr:rowOff>152400</xdr:rowOff>
    </xdr:from>
    <xdr:ext cx="209550" cy="238125"/>
    <xdr:sp macro="" textlink="">
      <xdr:nvSpPr>
        <xdr:cNvPr id="19482" name="Text Box 26"/>
        <xdr:cNvSpPr txBox="1">
          <a:spLocks noChangeArrowheads="1"/>
        </xdr:cNvSpPr>
      </xdr:nvSpPr>
      <xdr:spPr bwMode="auto">
        <a:xfrm>
          <a:off x="323850" y="314325"/>
          <a:ext cx="2095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C</a:t>
          </a:r>
        </a:p>
      </xdr:txBody>
    </xdr:sp>
    <xdr:clientData/>
  </xdr:oneCellAnchor>
  <xdr:twoCellAnchor editAs="oneCell">
    <xdr:from>
      <xdr:col>0</xdr:col>
      <xdr:colOff>361950</xdr:colOff>
      <xdr:row>7</xdr:row>
      <xdr:rowOff>47625</xdr:rowOff>
    </xdr:from>
    <xdr:to>
      <xdr:col>3</xdr:col>
      <xdr:colOff>9525</xdr:colOff>
      <xdr:row>8</xdr:row>
      <xdr:rowOff>66675</xdr:rowOff>
    </xdr:to>
    <xdr:sp macro="" textlink="">
      <xdr:nvSpPr>
        <xdr:cNvPr id="19483" name="Text Box 27"/>
        <xdr:cNvSpPr txBox="1">
          <a:spLocks noChangeArrowheads="1"/>
        </xdr:cNvSpPr>
      </xdr:nvSpPr>
      <xdr:spPr bwMode="auto">
        <a:xfrm>
          <a:off x="361950" y="1181100"/>
          <a:ext cx="11811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FF0000"/>
              </a:solidFill>
              <a:latin typeface="Arial"/>
              <a:cs typeface="Arial"/>
            </a:rPr>
            <a:t>Weld Neck Flange</a:t>
          </a:r>
        </a:p>
      </xdr:txBody>
    </xdr:sp>
    <xdr:clientData/>
  </xdr:twoCellAnchor>
  <xdr:twoCellAnchor>
    <xdr:from>
      <xdr:col>4</xdr:col>
      <xdr:colOff>190500</xdr:colOff>
      <xdr:row>4</xdr:row>
      <xdr:rowOff>95250</xdr:rowOff>
    </xdr:from>
    <xdr:to>
      <xdr:col>5</xdr:col>
      <xdr:colOff>285750</xdr:colOff>
      <xdr:row>4</xdr:row>
      <xdr:rowOff>123825</xdr:rowOff>
    </xdr:to>
    <xdr:sp macro="" textlink="">
      <xdr:nvSpPr>
        <xdr:cNvPr id="19484" name="Rectangle 28"/>
        <xdr:cNvSpPr>
          <a:spLocks noChangeArrowheads="1"/>
        </xdr:cNvSpPr>
      </xdr:nvSpPr>
      <xdr:spPr bwMode="auto">
        <a:xfrm>
          <a:off x="2333625" y="742950"/>
          <a:ext cx="590550" cy="28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905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200025</xdr:colOff>
      <xdr:row>3</xdr:row>
      <xdr:rowOff>114300</xdr:rowOff>
    </xdr:from>
    <xdr:to>
      <xdr:col>4</xdr:col>
      <xdr:colOff>238125</xdr:colOff>
      <xdr:row>4</xdr:row>
      <xdr:rowOff>9525</xdr:rowOff>
    </xdr:to>
    <xdr:sp macro="" textlink="">
      <xdr:nvSpPr>
        <xdr:cNvPr id="19485" name="Line 29"/>
        <xdr:cNvSpPr>
          <a:spLocks noChangeShapeType="1"/>
        </xdr:cNvSpPr>
      </xdr:nvSpPr>
      <xdr:spPr bwMode="auto">
        <a:xfrm flipV="1">
          <a:off x="2343150" y="600075"/>
          <a:ext cx="38100" cy="5715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228600</xdr:colOff>
      <xdr:row>3</xdr:row>
      <xdr:rowOff>114300</xdr:rowOff>
    </xdr:from>
    <xdr:to>
      <xdr:col>5</xdr:col>
      <xdr:colOff>257175</xdr:colOff>
      <xdr:row>3</xdr:row>
      <xdr:rowOff>114300</xdr:rowOff>
    </xdr:to>
    <xdr:sp macro="" textlink="">
      <xdr:nvSpPr>
        <xdr:cNvPr id="19486" name="Line 30"/>
        <xdr:cNvSpPr>
          <a:spLocks noChangeShapeType="1"/>
        </xdr:cNvSpPr>
      </xdr:nvSpPr>
      <xdr:spPr bwMode="auto">
        <a:xfrm>
          <a:off x="2371725" y="600075"/>
          <a:ext cx="52387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247650</xdr:colOff>
      <xdr:row>3</xdr:row>
      <xdr:rowOff>104775</xdr:rowOff>
    </xdr:from>
    <xdr:to>
      <xdr:col>5</xdr:col>
      <xdr:colOff>304800</xdr:colOff>
      <xdr:row>4</xdr:row>
      <xdr:rowOff>9525</xdr:rowOff>
    </xdr:to>
    <xdr:sp macro="" textlink="">
      <xdr:nvSpPr>
        <xdr:cNvPr id="19487" name="Line 31"/>
        <xdr:cNvSpPr>
          <a:spLocks noChangeShapeType="1"/>
        </xdr:cNvSpPr>
      </xdr:nvSpPr>
      <xdr:spPr bwMode="auto">
        <a:xfrm>
          <a:off x="2886075" y="590550"/>
          <a:ext cx="57150" cy="6667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85725</xdr:colOff>
      <xdr:row>4</xdr:row>
      <xdr:rowOff>104775</xdr:rowOff>
    </xdr:from>
    <xdr:to>
      <xdr:col>4</xdr:col>
      <xdr:colOff>85725</xdr:colOff>
      <xdr:row>6</xdr:row>
      <xdr:rowOff>95250</xdr:rowOff>
    </xdr:to>
    <xdr:sp macro="" textlink="">
      <xdr:nvSpPr>
        <xdr:cNvPr id="19488" name="Line 32"/>
        <xdr:cNvSpPr>
          <a:spLocks noChangeShapeType="1"/>
        </xdr:cNvSpPr>
      </xdr:nvSpPr>
      <xdr:spPr bwMode="auto">
        <a:xfrm>
          <a:off x="2228850" y="752475"/>
          <a:ext cx="0" cy="3143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409575</xdr:colOff>
      <xdr:row>4</xdr:row>
      <xdr:rowOff>133350</xdr:rowOff>
    </xdr:from>
    <xdr:to>
      <xdr:col>5</xdr:col>
      <xdr:colOff>409575</xdr:colOff>
      <xdr:row>6</xdr:row>
      <xdr:rowOff>123825</xdr:rowOff>
    </xdr:to>
    <xdr:sp macro="" textlink="">
      <xdr:nvSpPr>
        <xdr:cNvPr id="19489" name="Line 33"/>
        <xdr:cNvSpPr>
          <a:spLocks noChangeShapeType="1"/>
        </xdr:cNvSpPr>
      </xdr:nvSpPr>
      <xdr:spPr bwMode="auto">
        <a:xfrm>
          <a:off x="3048000" y="781050"/>
          <a:ext cx="0" cy="3143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2</xdr:row>
      <xdr:rowOff>114300</xdr:rowOff>
    </xdr:from>
    <xdr:to>
      <xdr:col>5</xdr:col>
      <xdr:colOff>9525</xdr:colOff>
      <xdr:row>5</xdr:row>
      <xdr:rowOff>28575</xdr:rowOff>
    </xdr:to>
    <xdr:sp macro="" textlink="">
      <xdr:nvSpPr>
        <xdr:cNvPr id="19490" name="Line 34"/>
        <xdr:cNvSpPr>
          <a:spLocks noChangeShapeType="1"/>
        </xdr:cNvSpPr>
      </xdr:nvSpPr>
      <xdr:spPr bwMode="auto">
        <a:xfrm flipV="1">
          <a:off x="2647950" y="438150"/>
          <a:ext cx="0" cy="4000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95250</xdr:colOff>
      <xdr:row>6</xdr:row>
      <xdr:rowOff>66675</xdr:rowOff>
    </xdr:from>
    <xdr:to>
      <xdr:col>5</xdr:col>
      <xdr:colOff>419100</xdr:colOff>
      <xdr:row>6</xdr:row>
      <xdr:rowOff>66675</xdr:rowOff>
    </xdr:to>
    <xdr:sp macro="" textlink="">
      <xdr:nvSpPr>
        <xdr:cNvPr id="19491" name="Line 35"/>
        <xdr:cNvSpPr>
          <a:spLocks noChangeShapeType="1"/>
        </xdr:cNvSpPr>
      </xdr:nvSpPr>
      <xdr:spPr bwMode="auto">
        <a:xfrm flipV="1">
          <a:off x="2238375" y="1038225"/>
          <a:ext cx="8191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276225</xdr:colOff>
      <xdr:row>4</xdr:row>
      <xdr:rowOff>123825</xdr:rowOff>
    </xdr:from>
    <xdr:to>
      <xdr:col>4</xdr:col>
      <xdr:colOff>171450</xdr:colOff>
      <xdr:row>4</xdr:row>
      <xdr:rowOff>123825</xdr:rowOff>
    </xdr:to>
    <xdr:sp macro="" textlink="">
      <xdr:nvSpPr>
        <xdr:cNvPr id="19492" name="Line 36"/>
        <xdr:cNvSpPr>
          <a:spLocks noChangeShapeType="1"/>
        </xdr:cNvSpPr>
      </xdr:nvSpPr>
      <xdr:spPr bwMode="auto">
        <a:xfrm>
          <a:off x="1809750" y="771525"/>
          <a:ext cx="504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276225</xdr:colOff>
      <xdr:row>4</xdr:row>
      <xdr:rowOff>9525</xdr:rowOff>
    </xdr:from>
    <xdr:to>
      <xdr:col>4</xdr:col>
      <xdr:colOff>57150</xdr:colOff>
      <xdr:row>4</xdr:row>
      <xdr:rowOff>9525</xdr:rowOff>
    </xdr:to>
    <xdr:sp macro="" textlink="">
      <xdr:nvSpPr>
        <xdr:cNvPr id="19493" name="Line 37"/>
        <xdr:cNvSpPr>
          <a:spLocks noChangeShapeType="1"/>
        </xdr:cNvSpPr>
      </xdr:nvSpPr>
      <xdr:spPr bwMode="auto">
        <a:xfrm>
          <a:off x="1809750" y="657225"/>
          <a:ext cx="3905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314325</xdr:colOff>
      <xdr:row>4</xdr:row>
      <xdr:rowOff>123825</xdr:rowOff>
    </xdr:from>
    <xdr:to>
      <xdr:col>3</xdr:col>
      <xdr:colOff>314325</xdr:colOff>
      <xdr:row>6</xdr:row>
      <xdr:rowOff>9525</xdr:rowOff>
    </xdr:to>
    <xdr:sp macro="" textlink="">
      <xdr:nvSpPr>
        <xdr:cNvPr id="19494" name="Line 38"/>
        <xdr:cNvSpPr>
          <a:spLocks noChangeShapeType="1"/>
        </xdr:cNvSpPr>
      </xdr:nvSpPr>
      <xdr:spPr bwMode="auto">
        <a:xfrm>
          <a:off x="1847850" y="771525"/>
          <a:ext cx="0" cy="2095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314325</xdr:colOff>
      <xdr:row>2</xdr:row>
      <xdr:rowOff>104775</xdr:rowOff>
    </xdr:from>
    <xdr:to>
      <xdr:col>3</xdr:col>
      <xdr:colOff>314325</xdr:colOff>
      <xdr:row>4</xdr:row>
      <xdr:rowOff>9525</xdr:rowOff>
    </xdr:to>
    <xdr:sp macro="" textlink="">
      <xdr:nvSpPr>
        <xdr:cNvPr id="19495" name="Line 39"/>
        <xdr:cNvSpPr>
          <a:spLocks noChangeShapeType="1"/>
        </xdr:cNvSpPr>
      </xdr:nvSpPr>
      <xdr:spPr bwMode="auto">
        <a:xfrm flipV="1">
          <a:off x="1847850" y="428625"/>
          <a:ext cx="0" cy="228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314325</xdr:colOff>
      <xdr:row>2</xdr:row>
      <xdr:rowOff>104775</xdr:rowOff>
    </xdr:from>
    <xdr:to>
      <xdr:col>3</xdr:col>
      <xdr:colOff>371475</xdr:colOff>
      <xdr:row>2</xdr:row>
      <xdr:rowOff>104775</xdr:rowOff>
    </xdr:to>
    <xdr:sp macro="" textlink="">
      <xdr:nvSpPr>
        <xdr:cNvPr id="19496" name="Line 40"/>
        <xdr:cNvSpPr>
          <a:spLocks noChangeShapeType="1"/>
        </xdr:cNvSpPr>
      </xdr:nvSpPr>
      <xdr:spPr bwMode="auto">
        <a:xfrm>
          <a:off x="1847850" y="428625"/>
          <a:ext cx="571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4</xdr:col>
      <xdr:colOff>409575</xdr:colOff>
      <xdr:row>5</xdr:row>
      <xdr:rowOff>47625</xdr:rowOff>
    </xdr:from>
    <xdr:ext cx="209550" cy="238125"/>
    <xdr:sp macro="" textlink="">
      <xdr:nvSpPr>
        <xdr:cNvPr id="19497" name="Text Box 41"/>
        <xdr:cNvSpPr txBox="1">
          <a:spLocks noChangeArrowheads="1"/>
        </xdr:cNvSpPr>
      </xdr:nvSpPr>
      <xdr:spPr bwMode="auto">
        <a:xfrm>
          <a:off x="2552700" y="857250"/>
          <a:ext cx="2095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O</a:t>
          </a:r>
        </a:p>
      </xdr:txBody>
    </xdr:sp>
    <xdr:clientData/>
  </xdr:oneCellAnchor>
  <xdr:oneCellAnchor>
    <xdr:from>
      <xdr:col>3</xdr:col>
      <xdr:colOff>400050</xdr:colOff>
      <xdr:row>1</xdr:row>
      <xdr:rowOff>152400</xdr:rowOff>
    </xdr:from>
    <xdr:ext cx="209550" cy="238125"/>
    <xdr:sp macro="" textlink="">
      <xdr:nvSpPr>
        <xdr:cNvPr id="19498" name="Text Box 42"/>
        <xdr:cNvSpPr txBox="1">
          <a:spLocks noChangeArrowheads="1"/>
        </xdr:cNvSpPr>
      </xdr:nvSpPr>
      <xdr:spPr bwMode="auto">
        <a:xfrm>
          <a:off x="1933575" y="314325"/>
          <a:ext cx="2095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C</a:t>
          </a:r>
        </a:p>
      </xdr:txBody>
    </xdr:sp>
    <xdr:clientData/>
  </xdr:oneCellAnchor>
  <xdr:twoCellAnchor>
    <xdr:from>
      <xdr:col>5</xdr:col>
      <xdr:colOff>352425</xdr:colOff>
      <xdr:row>4</xdr:row>
      <xdr:rowOff>123825</xdr:rowOff>
    </xdr:from>
    <xdr:to>
      <xdr:col>6</xdr:col>
      <xdr:colOff>209550</xdr:colOff>
      <xdr:row>4</xdr:row>
      <xdr:rowOff>123825</xdr:rowOff>
    </xdr:to>
    <xdr:sp macro="" textlink="">
      <xdr:nvSpPr>
        <xdr:cNvPr id="19499" name="Line 43"/>
        <xdr:cNvSpPr>
          <a:spLocks noChangeShapeType="1"/>
        </xdr:cNvSpPr>
      </xdr:nvSpPr>
      <xdr:spPr bwMode="auto">
        <a:xfrm flipV="1">
          <a:off x="2990850" y="771525"/>
          <a:ext cx="4191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304800</xdr:colOff>
      <xdr:row>3</xdr:row>
      <xdr:rowOff>104775</xdr:rowOff>
    </xdr:from>
    <xdr:to>
      <xdr:col>6</xdr:col>
      <xdr:colOff>200025</xdr:colOff>
      <xdr:row>3</xdr:row>
      <xdr:rowOff>104775</xdr:rowOff>
    </xdr:to>
    <xdr:sp macro="" textlink="">
      <xdr:nvSpPr>
        <xdr:cNvPr id="19500" name="Line 44"/>
        <xdr:cNvSpPr>
          <a:spLocks noChangeShapeType="1"/>
        </xdr:cNvSpPr>
      </xdr:nvSpPr>
      <xdr:spPr bwMode="auto">
        <a:xfrm flipV="1">
          <a:off x="2943225" y="590550"/>
          <a:ext cx="4572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161925</xdr:colOff>
      <xdr:row>4</xdr:row>
      <xdr:rowOff>123825</xdr:rowOff>
    </xdr:from>
    <xdr:to>
      <xdr:col>6</xdr:col>
      <xdr:colOff>161925</xdr:colOff>
      <xdr:row>6</xdr:row>
      <xdr:rowOff>9525</xdr:rowOff>
    </xdr:to>
    <xdr:sp macro="" textlink="">
      <xdr:nvSpPr>
        <xdr:cNvPr id="19501" name="Line 45"/>
        <xdr:cNvSpPr>
          <a:spLocks noChangeShapeType="1"/>
        </xdr:cNvSpPr>
      </xdr:nvSpPr>
      <xdr:spPr bwMode="auto">
        <a:xfrm>
          <a:off x="3362325" y="771525"/>
          <a:ext cx="0" cy="2095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161925</xdr:colOff>
      <xdr:row>2</xdr:row>
      <xdr:rowOff>38100</xdr:rowOff>
    </xdr:from>
    <xdr:to>
      <xdr:col>6</xdr:col>
      <xdr:colOff>161925</xdr:colOff>
      <xdr:row>3</xdr:row>
      <xdr:rowOff>104775</xdr:rowOff>
    </xdr:to>
    <xdr:sp macro="" textlink="">
      <xdr:nvSpPr>
        <xdr:cNvPr id="19502" name="Line 46"/>
        <xdr:cNvSpPr>
          <a:spLocks noChangeShapeType="1"/>
        </xdr:cNvSpPr>
      </xdr:nvSpPr>
      <xdr:spPr bwMode="auto">
        <a:xfrm flipV="1">
          <a:off x="3362325" y="361950"/>
          <a:ext cx="0" cy="228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6</xdr:col>
      <xdr:colOff>85725</xdr:colOff>
      <xdr:row>3</xdr:row>
      <xdr:rowOff>123825</xdr:rowOff>
    </xdr:from>
    <xdr:ext cx="152400" cy="200025"/>
    <xdr:sp macro="" textlink="">
      <xdr:nvSpPr>
        <xdr:cNvPr id="19503" name="Text Box 47"/>
        <xdr:cNvSpPr txBox="1">
          <a:spLocks noChangeArrowheads="1"/>
        </xdr:cNvSpPr>
      </xdr:nvSpPr>
      <xdr:spPr bwMode="auto">
        <a:xfrm>
          <a:off x="3286125" y="609600"/>
          <a:ext cx="1524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Y</a:t>
          </a:r>
        </a:p>
      </xdr:txBody>
    </xdr:sp>
    <xdr:clientData/>
  </xdr:oneCellAnchor>
  <xdr:twoCellAnchor editAs="oneCell">
    <xdr:from>
      <xdr:col>4</xdr:col>
      <xdr:colOff>57150</xdr:colOff>
      <xdr:row>7</xdr:row>
      <xdr:rowOff>38100</xdr:rowOff>
    </xdr:from>
    <xdr:to>
      <xdr:col>6</xdr:col>
      <xdr:colOff>0</xdr:colOff>
      <xdr:row>8</xdr:row>
      <xdr:rowOff>57150</xdr:rowOff>
    </xdr:to>
    <xdr:sp macro="" textlink="">
      <xdr:nvSpPr>
        <xdr:cNvPr id="19504" name="Text Box 48"/>
        <xdr:cNvSpPr txBox="1">
          <a:spLocks noChangeArrowheads="1"/>
        </xdr:cNvSpPr>
      </xdr:nvSpPr>
      <xdr:spPr bwMode="auto">
        <a:xfrm>
          <a:off x="2200275" y="1171575"/>
          <a:ext cx="10001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FF0000"/>
              </a:solidFill>
              <a:latin typeface="Arial"/>
              <a:cs typeface="Arial"/>
            </a:rPr>
            <a:t>Slip-On Flange</a:t>
          </a:r>
        </a:p>
      </xdr:txBody>
    </xdr:sp>
    <xdr:clientData/>
  </xdr:twoCellAnchor>
  <xdr:twoCellAnchor>
    <xdr:from>
      <xdr:col>7</xdr:col>
      <xdr:colOff>447675</xdr:colOff>
      <xdr:row>4</xdr:row>
      <xdr:rowOff>104775</xdr:rowOff>
    </xdr:from>
    <xdr:to>
      <xdr:col>9</xdr:col>
      <xdr:colOff>304800</xdr:colOff>
      <xdr:row>4</xdr:row>
      <xdr:rowOff>133350</xdr:rowOff>
    </xdr:to>
    <xdr:sp macro="" textlink="">
      <xdr:nvSpPr>
        <xdr:cNvPr id="19505" name="Rectangle 49"/>
        <xdr:cNvSpPr>
          <a:spLocks noChangeArrowheads="1"/>
        </xdr:cNvSpPr>
      </xdr:nvSpPr>
      <xdr:spPr bwMode="auto">
        <a:xfrm>
          <a:off x="4257675" y="752475"/>
          <a:ext cx="628650" cy="28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905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9525</xdr:colOff>
      <xdr:row>2</xdr:row>
      <xdr:rowOff>114300</xdr:rowOff>
    </xdr:from>
    <xdr:to>
      <xdr:col>9</xdr:col>
      <xdr:colOff>9525</xdr:colOff>
      <xdr:row>5</xdr:row>
      <xdr:rowOff>28575</xdr:rowOff>
    </xdr:to>
    <xdr:sp macro="" textlink="">
      <xdr:nvSpPr>
        <xdr:cNvPr id="19506" name="Line 50"/>
        <xdr:cNvSpPr>
          <a:spLocks noChangeShapeType="1"/>
        </xdr:cNvSpPr>
      </xdr:nvSpPr>
      <xdr:spPr bwMode="auto">
        <a:xfrm flipV="1">
          <a:off x="4591050" y="438150"/>
          <a:ext cx="0" cy="4000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485775</xdr:colOff>
      <xdr:row>3</xdr:row>
      <xdr:rowOff>104775</xdr:rowOff>
    </xdr:from>
    <xdr:to>
      <xdr:col>9</xdr:col>
      <xdr:colOff>295275</xdr:colOff>
      <xdr:row>3</xdr:row>
      <xdr:rowOff>104775</xdr:rowOff>
    </xdr:to>
    <xdr:sp macro="" textlink="">
      <xdr:nvSpPr>
        <xdr:cNvPr id="19507" name="Line 51"/>
        <xdr:cNvSpPr>
          <a:spLocks noChangeShapeType="1"/>
        </xdr:cNvSpPr>
      </xdr:nvSpPr>
      <xdr:spPr bwMode="auto">
        <a:xfrm>
          <a:off x="4295775" y="590550"/>
          <a:ext cx="58102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495300</xdr:colOff>
      <xdr:row>3</xdr:row>
      <xdr:rowOff>104775</xdr:rowOff>
    </xdr:from>
    <xdr:to>
      <xdr:col>7</xdr:col>
      <xdr:colOff>495300</xdr:colOff>
      <xdr:row>4</xdr:row>
      <xdr:rowOff>19050</xdr:rowOff>
    </xdr:to>
    <xdr:sp macro="" textlink="">
      <xdr:nvSpPr>
        <xdr:cNvPr id="19508" name="Line 52"/>
        <xdr:cNvSpPr>
          <a:spLocks noChangeShapeType="1"/>
        </xdr:cNvSpPr>
      </xdr:nvSpPr>
      <xdr:spPr bwMode="auto">
        <a:xfrm>
          <a:off x="4305300" y="590550"/>
          <a:ext cx="0" cy="7620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285750</xdr:colOff>
      <xdr:row>3</xdr:row>
      <xdr:rowOff>104775</xdr:rowOff>
    </xdr:from>
    <xdr:to>
      <xdr:col>9</xdr:col>
      <xdr:colOff>285750</xdr:colOff>
      <xdr:row>4</xdr:row>
      <xdr:rowOff>19050</xdr:rowOff>
    </xdr:to>
    <xdr:sp macro="" textlink="">
      <xdr:nvSpPr>
        <xdr:cNvPr id="19509" name="Line 53"/>
        <xdr:cNvSpPr>
          <a:spLocks noChangeShapeType="1"/>
        </xdr:cNvSpPr>
      </xdr:nvSpPr>
      <xdr:spPr bwMode="auto">
        <a:xfrm>
          <a:off x="4867275" y="590550"/>
          <a:ext cx="0" cy="7620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333375</xdr:colOff>
      <xdr:row>4</xdr:row>
      <xdr:rowOff>133350</xdr:rowOff>
    </xdr:from>
    <xdr:to>
      <xdr:col>7</xdr:col>
      <xdr:colOff>333375</xdr:colOff>
      <xdr:row>6</xdr:row>
      <xdr:rowOff>123825</xdr:rowOff>
    </xdr:to>
    <xdr:sp macro="" textlink="">
      <xdr:nvSpPr>
        <xdr:cNvPr id="19510" name="Line 54"/>
        <xdr:cNvSpPr>
          <a:spLocks noChangeShapeType="1"/>
        </xdr:cNvSpPr>
      </xdr:nvSpPr>
      <xdr:spPr bwMode="auto">
        <a:xfrm>
          <a:off x="4143375" y="781050"/>
          <a:ext cx="0" cy="3143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438150</xdr:colOff>
      <xdr:row>4</xdr:row>
      <xdr:rowOff>133350</xdr:rowOff>
    </xdr:from>
    <xdr:to>
      <xdr:col>9</xdr:col>
      <xdr:colOff>438150</xdr:colOff>
      <xdr:row>6</xdr:row>
      <xdr:rowOff>123825</xdr:rowOff>
    </xdr:to>
    <xdr:sp macro="" textlink="">
      <xdr:nvSpPr>
        <xdr:cNvPr id="19511" name="Line 55"/>
        <xdr:cNvSpPr>
          <a:spLocks noChangeShapeType="1"/>
        </xdr:cNvSpPr>
      </xdr:nvSpPr>
      <xdr:spPr bwMode="auto">
        <a:xfrm>
          <a:off x="5019675" y="781050"/>
          <a:ext cx="0" cy="3143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333375</xdr:colOff>
      <xdr:row>6</xdr:row>
      <xdr:rowOff>95250</xdr:rowOff>
    </xdr:from>
    <xdr:to>
      <xdr:col>9</xdr:col>
      <xdr:colOff>428625</xdr:colOff>
      <xdr:row>6</xdr:row>
      <xdr:rowOff>95250</xdr:rowOff>
    </xdr:to>
    <xdr:sp macro="" textlink="">
      <xdr:nvSpPr>
        <xdr:cNvPr id="19512" name="Line 56"/>
        <xdr:cNvSpPr>
          <a:spLocks noChangeShapeType="1"/>
        </xdr:cNvSpPr>
      </xdr:nvSpPr>
      <xdr:spPr bwMode="auto">
        <a:xfrm flipV="1">
          <a:off x="4143375" y="1066800"/>
          <a:ext cx="8667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333375</xdr:colOff>
      <xdr:row>4</xdr:row>
      <xdr:rowOff>133350</xdr:rowOff>
    </xdr:from>
    <xdr:to>
      <xdr:col>10</xdr:col>
      <xdr:colOff>114300</xdr:colOff>
      <xdr:row>4</xdr:row>
      <xdr:rowOff>133350</xdr:rowOff>
    </xdr:to>
    <xdr:sp macro="" textlink="">
      <xdr:nvSpPr>
        <xdr:cNvPr id="19513" name="Line 57"/>
        <xdr:cNvSpPr>
          <a:spLocks noChangeShapeType="1"/>
        </xdr:cNvSpPr>
      </xdr:nvSpPr>
      <xdr:spPr bwMode="auto">
        <a:xfrm flipV="1">
          <a:off x="4914900" y="781050"/>
          <a:ext cx="4095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323850</xdr:colOff>
      <xdr:row>3</xdr:row>
      <xdr:rowOff>104775</xdr:rowOff>
    </xdr:from>
    <xdr:to>
      <xdr:col>10</xdr:col>
      <xdr:colOff>123825</xdr:colOff>
      <xdr:row>3</xdr:row>
      <xdr:rowOff>104775</xdr:rowOff>
    </xdr:to>
    <xdr:sp macro="" textlink="">
      <xdr:nvSpPr>
        <xdr:cNvPr id="19514" name="Line 58"/>
        <xdr:cNvSpPr>
          <a:spLocks noChangeShapeType="1"/>
        </xdr:cNvSpPr>
      </xdr:nvSpPr>
      <xdr:spPr bwMode="auto">
        <a:xfrm flipV="1">
          <a:off x="4905375" y="590550"/>
          <a:ext cx="4286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76200</xdr:colOff>
      <xdr:row>4</xdr:row>
      <xdr:rowOff>133350</xdr:rowOff>
    </xdr:from>
    <xdr:to>
      <xdr:col>10</xdr:col>
      <xdr:colOff>76200</xdr:colOff>
      <xdr:row>6</xdr:row>
      <xdr:rowOff>19050</xdr:rowOff>
    </xdr:to>
    <xdr:sp macro="" textlink="">
      <xdr:nvSpPr>
        <xdr:cNvPr id="19515" name="Line 59"/>
        <xdr:cNvSpPr>
          <a:spLocks noChangeShapeType="1"/>
        </xdr:cNvSpPr>
      </xdr:nvSpPr>
      <xdr:spPr bwMode="auto">
        <a:xfrm>
          <a:off x="5286375" y="781050"/>
          <a:ext cx="0" cy="2095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66675</xdr:colOff>
      <xdr:row>2</xdr:row>
      <xdr:rowOff>38100</xdr:rowOff>
    </xdr:from>
    <xdr:to>
      <xdr:col>10</xdr:col>
      <xdr:colOff>66675</xdr:colOff>
      <xdr:row>3</xdr:row>
      <xdr:rowOff>104775</xdr:rowOff>
    </xdr:to>
    <xdr:sp macro="" textlink="">
      <xdr:nvSpPr>
        <xdr:cNvPr id="19516" name="Line 60"/>
        <xdr:cNvSpPr>
          <a:spLocks noChangeShapeType="1"/>
        </xdr:cNvSpPr>
      </xdr:nvSpPr>
      <xdr:spPr bwMode="auto">
        <a:xfrm flipV="1">
          <a:off x="5276850" y="361950"/>
          <a:ext cx="0" cy="228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28575</xdr:colOff>
      <xdr:row>4</xdr:row>
      <xdr:rowOff>133350</xdr:rowOff>
    </xdr:from>
    <xdr:to>
      <xdr:col>7</xdr:col>
      <xdr:colOff>400050</xdr:colOff>
      <xdr:row>4</xdr:row>
      <xdr:rowOff>133350</xdr:rowOff>
    </xdr:to>
    <xdr:sp macro="" textlink="">
      <xdr:nvSpPr>
        <xdr:cNvPr id="19517" name="Line 61"/>
        <xdr:cNvSpPr>
          <a:spLocks noChangeShapeType="1"/>
        </xdr:cNvSpPr>
      </xdr:nvSpPr>
      <xdr:spPr bwMode="auto">
        <a:xfrm>
          <a:off x="3838575" y="781050"/>
          <a:ext cx="3714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28575</xdr:colOff>
      <xdr:row>4</xdr:row>
      <xdr:rowOff>28575</xdr:rowOff>
    </xdr:from>
    <xdr:to>
      <xdr:col>7</xdr:col>
      <xdr:colOff>304800</xdr:colOff>
      <xdr:row>4</xdr:row>
      <xdr:rowOff>28575</xdr:rowOff>
    </xdr:to>
    <xdr:sp macro="" textlink="">
      <xdr:nvSpPr>
        <xdr:cNvPr id="19518" name="Line 62"/>
        <xdr:cNvSpPr>
          <a:spLocks noChangeShapeType="1"/>
        </xdr:cNvSpPr>
      </xdr:nvSpPr>
      <xdr:spPr bwMode="auto">
        <a:xfrm>
          <a:off x="3838575" y="676275"/>
          <a:ext cx="2762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66675</xdr:colOff>
      <xdr:row>4</xdr:row>
      <xdr:rowOff>133350</xdr:rowOff>
    </xdr:from>
    <xdr:to>
      <xdr:col>7</xdr:col>
      <xdr:colOff>66675</xdr:colOff>
      <xdr:row>6</xdr:row>
      <xdr:rowOff>19050</xdr:rowOff>
    </xdr:to>
    <xdr:sp macro="" textlink="">
      <xdr:nvSpPr>
        <xdr:cNvPr id="19519" name="Line 63"/>
        <xdr:cNvSpPr>
          <a:spLocks noChangeShapeType="1"/>
        </xdr:cNvSpPr>
      </xdr:nvSpPr>
      <xdr:spPr bwMode="auto">
        <a:xfrm>
          <a:off x="3876675" y="781050"/>
          <a:ext cx="0" cy="2095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66675</xdr:colOff>
      <xdr:row>2</xdr:row>
      <xdr:rowOff>114300</xdr:rowOff>
    </xdr:from>
    <xdr:to>
      <xdr:col>7</xdr:col>
      <xdr:colOff>66675</xdr:colOff>
      <xdr:row>4</xdr:row>
      <xdr:rowOff>28575</xdr:rowOff>
    </xdr:to>
    <xdr:sp macro="" textlink="">
      <xdr:nvSpPr>
        <xdr:cNvPr id="19520" name="Line 64"/>
        <xdr:cNvSpPr>
          <a:spLocks noChangeShapeType="1"/>
        </xdr:cNvSpPr>
      </xdr:nvSpPr>
      <xdr:spPr bwMode="auto">
        <a:xfrm flipV="1">
          <a:off x="3876675" y="438150"/>
          <a:ext cx="0" cy="2381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66675</xdr:colOff>
      <xdr:row>2</xdr:row>
      <xdr:rowOff>114300</xdr:rowOff>
    </xdr:from>
    <xdr:to>
      <xdr:col>7</xdr:col>
      <xdr:colOff>123825</xdr:colOff>
      <xdr:row>2</xdr:row>
      <xdr:rowOff>114300</xdr:rowOff>
    </xdr:to>
    <xdr:sp macro="" textlink="">
      <xdr:nvSpPr>
        <xdr:cNvPr id="19521" name="Line 65"/>
        <xdr:cNvSpPr>
          <a:spLocks noChangeShapeType="1"/>
        </xdr:cNvSpPr>
      </xdr:nvSpPr>
      <xdr:spPr bwMode="auto">
        <a:xfrm>
          <a:off x="3876675" y="438150"/>
          <a:ext cx="571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8</xdr:col>
      <xdr:colOff>95250</xdr:colOff>
      <xdr:row>5</xdr:row>
      <xdr:rowOff>66675</xdr:rowOff>
    </xdr:from>
    <xdr:ext cx="209550" cy="238125"/>
    <xdr:sp macro="" textlink="">
      <xdr:nvSpPr>
        <xdr:cNvPr id="19522" name="Text Box 66"/>
        <xdr:cNvSpPr txBox="1">
          <a:spLocks noChangeArrowheads="1"/>
        </xdr:cNvSpPr>
      </xdr:nvSpPr>
      <xdr:spPr bwMode="auto">
        <a:xfrm>
          <a:off x="4514850" y="876300"/>
          <a:ext cx="2095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O</a:t>
          </a:r>
        </a:p>
      </xdr:txBody>
    </xdr:sp>
    <xdr:clientData/>
  </xdr:oneCellAnchor>
  <xdr:oneCellAnchor>
    <xdr:from>
      <xdr:col>10</xdr:col>
      <xdr:colOff>0</xdr:colOff>
      <xdr:row>3</xdr:row>
      <xdr:rowOff>114300</xdr:rowOff>
    </xdr:from>
    <xdr:ext cx="152400" cy="200025"/>
    <xdr:sp macro="" textlink="">
      <xdr:nvSpPr>
        <xdr:cNvPr id="19523" name="Text Box 67"/>
        <xdr:cNvSpPr txBox="1">
          <a:spLocks noChangeArrowheads="1"/>
        </xdr:cNvSpPr>
      </xdr:nvSpPr>
      <xdr:spPr bwMode="auto">
        <a:xfrm>
          <a:off x="5210175" y="600075"/>
          <a:ext cx="1524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Y</a:t>
          </a:r>
        </a:p>
      </xdr:txBody>
    </xdr:sp>
    <xdr:clientData/>
  </xdr:oneCellAnchor>
  <xdr:oneCellAnchor>
    <xdr:from>
      <xdr:col>7</xdr:col>
      <xdr:colOff>133350</xdr:colOff>
      <xdr:row>2</xdr:row>
      <xdr:rowOff>19050</xdr:rowOff>
    </xdr:from>
    <xdr:ext cx="209550" cy="238125"/>
    <xdr:sp macro="" textlink="">
      <xdr:nvSpPr>
        <xdr:cNvPr id="19524" name="Text Box 68"/>
        <xdr:cNvSpPr txBox="1">
          <a:spLocks noChangeArrowheads="1"/>
        </xdr:cNvSpPr>
      </xdr:nvSpPr>
      <xdr:spPr bwMode="auto">
        <a:xfrm>
          <a:off x="3943350" y="342900"/>
          <a:ext cx="2095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C</a:t>
          </a:r>
        </a:p>
      </xdr:txBody>
    </xdr:sp>
    <xdr:clientData/>
  </xdr:oneCellAnchor>
  <xdr:oneCellAnchor>
    <xdr:from>
      <xdr:col>7</xdr:col>
      <xdr:colOff>209550</xdr:colOff>
      <xdr:row>7</xdr:row>
      <xdr:rowOff>28575</xdr:rowOff>
    </xdr:from>
    <xdr:ext cx="1114425" cy="200025"/>
    <xdr:sp macro="" textlink="">
      <xdr:nvSpPr>
        <xdr:cNvPr id="19525" name="Text Box 69"/>
        <xdr:cNvSpPr txBox="1">
          <a:spLocks noChangeArrowheads="1"/>
        </xdr:cNvSpPr>
      </xdr:nvSpPr>
      <xdr:spPr bwMode="auto">
        <a:xfrm>
          <a:off x="4019550" y="1162050"/>
          <a:ext cx="11144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FF0000"/>
              </a:solidFill>
              <a:latin typeface="Arial"/>
              <a:cs typeface="Arial"/>
            </a:rPr>
            <a:t>Threaded Flange</a:t>
          </a:r>
        </a:p>
      </xdr:txBody>
    </xdr:sp>
    <xdr:clientData/>
  </xdr:oneCellAnchor>
  <xdr:twoCellAnchor>
    <xdr:from>
      <xdr:col>12</xdr:col>
      <xdr:colOff>76200</xdr:colOff>
      <xdr:row>3</xdr:row>
      <xdr:rowOff>19050</xdr:rowOff>
    </xdr:from>
    <xdr:to>
      <xdr:col>12</xdr:col>
      <xdr:colOff>76200</xdr:colOff>
      <xdr:row>5</xdr:row>
      <xdr:rowOff>95250</xdr:rowOff>
    </xdr:to>
    <xdr:sp macro="" textlink="">
      <xdr:nvSpPr>
        <xdr:cNvPr id="19526" name="Line 70"/>
        <xdr:cNvSpPr>
          <a:spLocks noChangeShapeType="1"/>
        </xdr:cNvSpPr>
      </xdr:nvSpPr>
      <xdr:spPr bwMode="auto">
        <a:xfrm flipV="1">
          <a:off x="6305550" y="504825"/>
          <a:ext cx="0" cy="4000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419100</xdr:colOff>
      <xdr:row>4</xdr:row>
      <xdr:rowOff>28575</xdr:rowOff>
    </xdr:from>
    <xdr:to>
      <xdr:col>12</xdr:col>
      <xdr:colOff>323850</xdr:colOff>
      <xdr:row>4</xdr:row>
      <xdr:rowOff>28575</xdr:rowOff>
    </xdr:to>
    <xdr:sp macro="" textlink="">
      <xdr:nvSpPr>
        <xdr:cNvPr id="19527" name="Line 71"/>
        <xdr:cNvSpPr>
          <a:spLocks noChangeShapeType="1"/>
        </xdr:cNvSpPr>
      </xdr:nvSpPr>
      <xdr:spPr bwMode="auto">
        <a:xfrm>
          <a:off x="6076950" y="676275"/>
          <a:ext cx="476250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419100</xdr:colOff>
      <xdr:row>4</xdr:row>
      <xdr:rowOff>28575</xdr:rowOff>
    </xdr:from>
    <xdr:to>
      <xdr:col>11</xdr:col>
      <xdr:colOff>419100</xdr:colOff>
      <xdr:row>4</xdr:row>
      <xdr:rowOff>76200</xdr:rowOff>
    </xdr:to>
    <xdr:sp macro="" textlink="">
      <xdr:nvSpPr>
        <xdr:cNvPr id="19528" name="Line 72"/>
        <xdr:cNvSpPr>
          <a:spLocks noChangeShapeType="1"/>
        </xdr:cNvSpPr>
      </xdr:nvSpPr>
      <xdr:spPr bwMode="auto">
        <a:xfrm>
          <a:off x="6076950" y="676275"/>
          <a:ext cx="0" cy="476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323850</xdr:colOff>
      <xdr:row>4</xdr:row>
      <xdr:rowOff>28575</xdr:rowOff>
    </xdr:from>
    <xdr:to>
      <xdr:col>12</xdr:col>
      <xdr:colOff>323850</xdr:colOff>
      <xdr:row>4</xdr:row>
      <xdr:rowOff>76200</xdr:rowOff>
    </xdr:to>
    <xdr:sp macro="" textlink="">
      <xdr:nvSpPr>
        <xdr:cNvPr id="19529" name="Line 73"/>
        <xdr:cNvSpPr>
          <a:spLocks noChangeShapeType="1"/>
        </xdr:cNvSpPr>
      </xdr:nvSpPr>
      <xdr:spPr bwMode="auto">
        <a:xfrm>
          <a:off x="6553200" y="676275"/>
          <a:ext cx="0" cy="476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276225</xdr:colOff>
      <xdr:row>5</xdr:row>
      <xdr:rowOff>19050</xdr:rowOff>
    </xdr:from>
    <xdr:to>
      <xdr:col>11</xdr:col>
      <xdr:colOff>276225</xdr:colOff>
      <xdr:row>7</xdr:row>
      <xdr:rowOff>9525</xdr:rowOff>
    </xdr:to>
    <xdr:sp macro="" textlink="">
      <xdr:nvSpPr>
        <xdr:cNvPr id="19530" name="Line 74"/>
        <xdr:cNvSpPr>
          <a:spLocks noChangeShapeType="1"/>
        </xdr:cNvSpPr>
      </xdr:nvSpPr>
      <xdr:spPr bwMode="auto">
        <a:xfrm>
          <a:off x="5934075" y="828675"/>
          <a:ext cx="0" cy="3143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466725</xdr:colOff>
      <xdr:row>5</xdr:row>
      <xdr:rowOff>28575</xdr:rowOff>
    </xdr:from>
    <xdr:to>
      <xdr:col>12</xdr:col>
      <xdr:colOff>466725</xdr:colOff>
      <xdr:row>7</xdr:row>
      <xdr:rowOff>19050</xdr:rowOff>
    </xdr:to>
    <xdr:sp macro="" textlink="">
      <xdr:nvSpPr>
        <xdr:cNvPr id="19531" name="Line 75"/>
        <xdr:cNvSpPr>
          <a:spLocks noChangeShapeType="1"/>
        </xdr:cNvSpPr>
      </xdr:nvSpPr>
      <xdr:spPr bwMode="auto">
        <a:xfrm>
          <a:off x="6657975" y="838200"/>
          <a:ext cx="0" cy="3143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276225</xdr:colOff>
      <xdr:row>6</xdr:row>
      <xdr:rowOff>133350</xdr:rowOff>
    </xdr:from>
    <xdr:to>
      <xdr:col>12</xdr:col>
      <xdr:colOff>466725</xdr:colOff>
      <xdr:row>6</xdr:row>
      <xdr:rowOff>133350</xdr:rowOff>
    </xdr:to>
    <xdr:sp macro="" textlink="">
      <xdr:nvSpPr>
        <xdr:cNvPr id="19532" name="Line 76"/>
        <xdr:cNvSpPr>
          <a:spLocks noChangeShapeType="1"/>
        </xdr:cNvSpPr>
      </xdr:nvSpPr>
      <xdr:spPr bwMode="auto">
        <a:xfrm flipV="1">
          <a:off x="5934075" y="1104900"/>
          <a:ext cx="7239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476250</xdr:colOff>
      <xdr:row>4</xdr:row>
      <xdr:rowOff>152400</xdr:rowOff>
    </xdr:from>
    <xdr:to>
      <xdr:col>13</xdr:col>
      <xdr:colOff>219075</xdr:colOff>
      <xdr:row>4</xdr:row>
      <xdr:rowOff>152400</xdr:rowOff>
    </xdr:to>
    <xdr:sp macro="" textlink="">
      <xdr:nvSpPr>
        <xdr:cNvPr id="19533" name="Line 77"/>
        <xdr:cNvSpPr>
          <a:spLocks noChangeShapeType="1"/>
        </xdr:cNvSpPr>
      </xdr:nvSpPr>
      <xdr:spPr bwMode="auto">
        <a:xfrm flipV="1">
          <a:off x="6657975" y="800100"/>
          <a:ext cx="2190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371475</xdr:colOff>
      <xdr:row>4</xdr:row>
      <xdr:rowOff>19050</xdr:rowOff>
    </xdr:from>
    <xdr:to>
      <xdr:col>13</xdr:col>
      <xdr:colOff>228600</xdr:colOff>
      <xdr:row>4</xdr:row>
      <xdr:rowOff>19050</xdr:rowOff>
    </xdr:to>
    <xdr:sp macro="" textlink="">
      <xdr:nvSpPr>
        <xdr:cNvPr id="19534" name="Line 78"/>
        <xdr:cNvSpPr>
          <a:spLocks noChangeShapeType="1"/>
        </xdr:cNvSpPr>
      </xdr:nvSpPr>
      <xdr:spPr bwMode="auto">
        <a:xfrm flipV="1">
          <a:off x="6600825" y="666750"/>
          <a:ext cx="2857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142875</xdr:colOff>
      <xdr:row>5</xdr:row>
      <xdr:rowOff>0</xdr:rowOff>
    </xdr:from>
    <xdr:to>
      <xdr:col>13</xdr:col>
      <xdr:colOff>142875</xdr:colOff>
      <xdr:row>6</xdr:row>
      <xdr:rowOff>47625</xdr:rowOff>
    </xdr:to>
    <xdr:sp macro="" textlink="">
      <xdr:nvSpPr>
        <xdr:cNvPr id="19535" name="Line 79"/>
        <xdr:cNvSpPr>
          <a:spLocks noChangeShapeType="1"/>
        </xdr:cNvSpPr>
      </xdr:nvSpPr>
      <xdr:spPr bwMode="auto">
        <a:xfrm>
          <a:off x="6800850" y="809625"/>
          <a:ext cx="0" cy="2095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2</xdr:row>
      <xdr:rowOff>95250</xdr:rowOff>
    </xdr:from>
    <xdr:to>
      <xdr:col>13</xdr:col>
      <xdr:colOff>133350</xdr:colOff>
      <xdr:row>4</xdr:row>
      <xdr:rowOff>0</xdr:rowOff>
    </xdr:to>
    <xdr:sp macro="" textlink="">
      <xdr:nvSpPr>
        <xdr:cNvPr id="19536" name="Line 80"/>
        <xdr:cNvSpPr>
          <a:spLocks noChangeShapeType="1"/>
        </xdr:cNvSpPr>
      </xdr:nvSpPr>
      <xdr:spPr bwMode="auto">
        <a:xfrm flipV="1">
          <a:off x="6791325" y="419100"/>
          <a:ext cx="0" cy="228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466725</xdr:colOff>
      <xdr:row>5</xdr:row>
      <xdr:rowOff>0</xdr:rowOff>
    </xdr:from>
    <xdr:to>
      <xdr:col>11</xdr:col>
      <xdr:colOff>228600</xdr:colOff>
      <xdr:row>5</xdr:row>
      <xdr:rowOff>0</xdr:rowOff>
    </xdr:to>
    <xdr:sp macro="" textlink="">
      <xdr:nvSpPr>
        <xdr:cNvPr id="19537" name="Line 81"/>
        <xdr:cNvSpPr>
          <a:spLocks noChangeShapeType="1"/>
        </xdr:cNvSpPr>
      </xdr:nvSpPr>
      <xdr:spPr bwMode="auto">
        <a:xfrm>
          <a:off x="5657850" y="809625"/>
          <a:ext cx="2286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476250</xdr:colOff>
      <xdr:row>4</xdr:row>
      <xdr:rowOff>85725</xdr:rowOff>
    </xdr:from>
    <xdr:to>
      <xdr:col>11</xdr:col>
      <xdr:colOff>238125</xdr:colOff>
      <xdr:row>4</xdr:row>
      <xdr:rowOff>85725</xdr:rowOff>
    </xdr:to>
    <xdr:sp macro="" textlink="">
      <xdr:nvSpPr>
        <xdr:cNvPr id="19538" name="Line 82"/>
        <xdr:cNvSpPr>
          <a:spLocks noChangeShapeType="1"/>
        </xdr:cNvSpPr>
      </xdr:nvSpPr>
      <xdr:spPr bwMode="auto">
        <a:xfrm>
          <a:off x="5657850" y="733425"/>
          <a:ext cx="2381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514350</xdr:colOff>
      <xdr:row>3</xdr:row>
      <xdr:rowOff>0</xdr:rowOff>
    </xdr:from>
    <xdr:to>
      <xdr:col>10</xdr:col>
      <xdr:colOff>514350</xdr:colOff>
      <xdr:row>4</xdr:row>
      <xdr:rowOff>76200</xdr:rowOff>
    </xdr:to>
    <xdr:sp macro="" textlink="">
      <xdr:nvSpPr>
        <xdr:cNvPr id="19539" name="Line 83"/>
        <xdr:cNvSpPr>
          <a:spLocks noChangeShapeType="1"/>
        </xdr:cNvSpPr>
      </xdr:nvSpPr>
      <xdr:spPr bwMode="auto">
        <a:xfrm flipV="1">
          <a:off x="5657850" y="485775"/>
          <a:ext cx="0" cy="2381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514350</xdr:colOff>
      <xdr:row>5</xdr:row>
      <xdr:rowOff>0</xdr:rowOff>
    </xdr:from>
    <xdr:to>
      <xdr:col>10</xdr:col>
      <xdr:colOff>514350</xdr:colOff>
      <xdr:row>6</xdr:row>
      <xdr:rowOff>47625</xdr:rowOff>
    </xdr:to>
    <xdr:sp macro="" textlink="">
      <xdr:nvSpPr>
        <xdr:cNvPr id="19540" name="Line 84"/>
        <xdr:cNvSpPr>
          <a:spLocks noChangeShapeType="1"/>
        </xdr:cNvSpPr>
      </xdr:nvSpPr>
      <xdr:spPr bwMode="auto">
        <a:xfrm>
          <a:off x="5657850" y="809625"/>
          <a:ext cx="0" cy="2095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504825</xdr:colOff>
      <xdr:row>3</xdr:row>
      <xdr:rowOff>0</xdr:rowOff>
    </xdr:from>
    <xdr:to>
      <xdr:col>10</xdr:col>
      <xdr:colOff>447675</xdr:colOff>
      <xdr:row>3</xdr:row>
      <xdr:rowOff>0</xdr:rowOff>
    </xdr:to>
    <xdr:sp macro="" textlink="">
      <xdr:nvSpPr>
        <xdr:cNvPr id="19541" name="Line 85"/>
        <xdr:cNvSpPr>
          <a:spLocks noChangeShapeType="1"/>
        </xdr:cNvSpPr>
      </xdr:nvSpPr>
      <xdr:spPr bwMode="auto">
        <a:xfrm>
          <a:off x="5657850" y="485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12</xdr:col>
      <xdr:colOff>0</xdr:colOff>
      <xdr:row>5</xdr:row>
      <xdr:rowOff>95250</xdr:rowOff>
    </xdr:from>
    <xdr:ext cx="209550" cy="238125"/>
    <xdr:sp macro="" textlink="">
      <xdr:nvSpPr>
        <xdr:cNvPr id="19542" name="Text Box 86"/>
        <xdr:cNvSpPr txBox="1">
          <a:spLocks noChangeArrowheads="1"/>
        </xdr:cNvSpPr>
      </xdr:nvSpPr>
      <xdr:spPr bwMode="auto">
        <a:xfrm>
          <a:off x="6229350" y="904875"/>
          <a:ext cx="2095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O</a:t>
          </a:r>
        </a:p>
      </xdr:txBody>
    </xdr:sp>
    <xdr:clientData/>
  </xdr:oneCellAnchor>
  <xdr:twoCellAnchor editAs="oneCell">
    <xdr:from>
      <xdr:col>11</xdr:col>
      <xdr:colOff>76200</xdr:colOff>
      <xdr:row>2</xdr:row>
      <xdr:rowOff>66675</xdr:rowOff>
    </xdr:from>
    <xdr:to>
      <xdr:col>11</xdr:col>
      <xdr:colOff>266700</xdr:colOff>
      <xdr:row>3</xdr:row>
      <xdr:rowOff>85725</xdr:rowOff>
    </xdr:to>
    <xdr:sp macro="" textlink="">
      <xdr:nvSpPr>
        <xdr:cNvPr id="19543" name="Text Box 87"/>
        <xdr:cNvSpPr txBox="1">
          <a:spLocks noChangeArrowheads="1"/>
        </xdr:cNvSpPr>
      </xdr:nvSpPr>
      <xdr:spPr bwMode="auto">
        <a:xfrm>
          <a:off x="5734050" y="390525"/>
          <a:ext cx="1905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C</a:t>
          </a:r>
        </a:p>
      </xdr:txBody>
    </xdr:sp>
    <xdr:clientData/>
  </xdr:twoCellAnchor>
  <xdr:twoCellAnchor>
    <xdr:from>
      <xdr:col>13</xdr:col>
      <xdr:colOff>28575</xdr:colOff>
      <xdr:row>2</xdr:row>
      <xdr:rowOff>95250</xdr:rowOff>
    </xdr:from>
    <xdr:to>
      <xdr:col>13</xdr:col>
      <xdr:colOff>123825</xdr:colOff>
      <xdr:row>2</xdr:row>
      <xdr:rowOff>95250</xdr:rowOff>
    </xdr:to>
    <xdr:sp macro="" textlink="">
      <xdr:nvSpPr>
        <xdr:cNvPr id="19544" name="Line 88"/>
        <xdr:cNvSpPr>
          <a:spLocks noChangeShapeType="1"/>
        </xdr:cNvSpPr>
      </xdr:nvSpPr>
      <xdr:spPr bwMode="auto">
        <a:xfrm>
          <a:off x="6686550" y="419100"/>
          <a:ext cx="952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12</xdr:col>
      <xdr:colOff>304800</xdr:colOff>
      <xdr:row>2</xdr:row>
      <xdr:rowOff>19050</xdr:rowOff>
    </xdr:from>
    <xdr:ext cx="190500" cy="238125"/>
    <xdr:sp macro="" textlink="">
      <xdr:nvSpPr>
        <xdr:cNvPr id="19545" name="Text Box 89"/>
        <xdr:cNvSpPr txBox="1">
          <a:spLocks noChangeArrowheads="1"/>
        </xdr:cNvSpPr>
      </xdr:nvSpPr>
      <xdr:spPr bwMode="auto">
        <a:xfrm>
          <a:off x="6534150" y="342900"/>
          <a:ext cx="1905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Y</a:t>
          </a:r>
        </a:p>
      </xdr:txBody>
    </xdr:sp>
    <xdr:clientData/>
  </xdr:oneCellAnchor>
  <xdr:oneCellAnchor>
    <xdr:from>
      <xdr:col>11</xdr:col>
      <xdr:colOff>123825</xdr:colOff>
      <xdr:row>7</xdr:row>
      <xdr:rowOff>28575</xdr:rowOff>
    </xdr:from>
    <xdr:ext cx="1095375" cy="200025"/>
    <xdr:sp macro="" textlink="">
      <xdr:nvSpPr>
        <xdr:cNvPr id="19546" name="Text Box 90"/>
        <xdr:cNvSpPr txBox="1">
          <a:spLocks noChangeArrowheads="1"/>
        </xdr:cNvSpPr>
      </xdr:nvSpPr>
      <xdr:spPr bwMode="auto">
        <a:xfrm>
          <a:off x="5781675" y="1162050"/>
          <a:ext cx="10953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FF0000"/>
              </a:solidFill>
              <a:latin typeface="Arial"/>
              <a:cs typeface="Arial"/>
            </a:rPr>
            <a:t>Lap Joint Flange</a:t>
          </a:r>
        </a:p>
      </xdr:txBody>
    </xdr:sp>
    <xdr:clientData/>
  </xdr:oneCellAnchor>
  <xdr:twoCellAnchor>
    <xdr:from>
      <xdr:col>14</xdr:col>
      <xdr:colOff>476250</xdr:colOff>
      <xdr:row>4</xdr:row>
      <xdr:rowOff>123825</xdr:rowOff>
    </xdr:from>
    <xdr:to>
      <xdr:col>15</xdr:col>
      <xdr:colOff>428625</xdr:colOff>
      <xdr:row>4</xdr:row>
      <xdr:rowOff>152400</xdr:rowOff>
    </xdr:to>
    <xdr:sp macro="" textlink="">
      <xdr:nvSpPr>
        <xdr:cNvPr id="19547" name="Rectangle 91"/>
        <xdr:cNvSpPr>
          <a:spLocks noChangeArrowheads="1"/>
        </xdr:cNvSpPr>
      </xdr:nvSpPr>
      <xdr:spPr bwMode="auto">
        <a:xfrm>
          <a:off x="7629525" y="771525"/>
          <a:ext cx="476250" cy="28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905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miter lim="800000"/>
          <a:headEnd/>
          <a:tailEnd/>
        </a:ln>
      </xdr:spPr>
    </xdr:sp>
    <xdr:clientData/>
  </xdr:twoCellAnchor>
  <xdr:twoCellAnchor>
    <xdr:from>
      <xdr:col>14</xdr:col>
      <xdr:colOff>381000</xdr:colOff>
      <xdr:row>4</xdr:row>
      <xdr:rowOff>152400</xdr:rowOff>
    </xdr:from>
    <xdr:to>
      <xdr:col>14</xdr:col>
      <xdr:colOff>381000</xdr:colOff>
      <xdr:row>6</xdr:row>
      <xdr:rowOff>142875</xdr:rowOff>
    </xdr:to>
    <xdr:sp macro="" textlink="">
      <xdr:nvSpPr>
        <xdr:cNvPr id="19548" name="Line 92"/>
        <xdr:cNvSpPr>
          <a:spLocks noChangeShapeType="1"/>
        </xdr:cNvSpPr>
      </xdr:nvSpPr>
      <xdr:spPr bwMode="auto">
        <a:xfrm>
          <a:off x="7534275" y="800100"/>
          <a:ext cx="0" cy="3143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561975</xdr:colOff>
      <xdr:row>5</xdr:row>
      <xdr:rowOff>0</xdr:rowOff>
    </xdr:from>
    <xdr:to>
      <xdr:col>15</xdr:col>
      <xdr:colOff>561975</xdr:colOff>
      <xdr:row>6</xdr:row>
      <xdr:rowOff>152400</xdr:rowOff>
    </xdr:to>
    <xdr:sp macro="" textlink="">
      <xdr:nvSpPr>
        <xdr:cNvPr id="19549" name="Line 93"/>
        <xdr:cNvSpPr>
          <a:spLocks noChangeShapeType="1"/>
        </xdr:cNvSpPr>
      </xdr:nvSpPr>
      <xdr:spPr bwMode="auto">
        <a:xfrm>
          <a:off x="8201025" y="809625"/>
          <a:ext cx="0" cy="3143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200025</xdr:colOff>
      <xdr:row>3</xdr:row>
      <xdr:rowOff>28575</xdr:rowOff>
    </xdr:from>
    <xdr:to>
      <xdr:col>15</xdr:col>
      <xdr:colOff>200025</xdr:colOff>
      <xdr:row>5</xdr:row>
      <xdr:rowOff>104775</xdr:rowOff>
    </xdr:to>
    <xdr:sp macro="" textlink="">
      <xdr:nvSpPr>
        <xdr:cNvPr id="19550" name="Line 94"/>
        <xdr:cNvSpPr>
          <a:spLocks noChangeShapeType="1"/>
        </xdr:cNvSpPr>
      </xdr:nvSpPr>
      <xdr:spPr bwMode="auto">
        <a:xfrm flipV="1">
          <a:off x="7877175" y="514350"/>
          <a:ext cx="0" cy="4000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381000</xdr:colOff>
      <xdr:row>6</xdr:row>
      <xdr:rowOff>114300</xdr:rowOff>
    </xdr:from>
    <xdr:to>
      <xdr:col>15</xdr:col>
      <xdr:colOff>571500</xdr:colOff>
      <xdr:row>6</xdr:row>
      <xdr:rowOff>114300</xdr:rowOff>
    </xdr:to>
    <xdr:sp macro="" textlink="">
      <xdr:nvSpPr>
        <xdr:cNvPr id="19551" name="Line 95"/>
        <xdr:cNvSpPr>
          <a:spLocks noChangeShapeType="1"/>
        </xdr:cNvSpPr>
      </xdr:nvSpPr>
      <xdr:spPr bwMode="auto">
        <a:xfrm flipV="1">
          <a:off x="7534275" y="1085850"/>
          <a:ext cx="6667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495300</xdr:colOff>
      <xdr:row>4</xdr:row>
      <xdr:rowOff>152400</xdr:rowOff>
    </xdr:from>
    <xdr:to>
      <xdr:col>16</xdr:col>
      <xdr:colOff>238125</xdr:colOff>
      <xdr:row>4</xdr:row>
      <xdr:rowOff>152400</xdr:rowOff>
    </xdr:to>
    <xdr:sp macro="" textlink="">
      <xdr:nvSpPr>
        <xdr:cNvPr id="19552" name="Line 96"/>
        <xdr:cNvSpPr>
          <a:spLocks noChangeShapeType="1"/>
        </xdr:cNvSpPr>
      </xdr:nvSpPr>
      <xdr:spPr bwMode="auto">
        <a:xfrm flipV="1">
          <a:off x="8172450" y="800100"/>
          <a:ext cx="2667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600075</xdr:colOff>
      <xdr:row>4</xdr:row>
      <xdr:rowOff>38100</xdr:rowOff>
    </xdr:from>
    <xdr:to>
      <xdr:col>16</xdr:col>
      <xdr:colOff>228600</xdr:colOff>
      <xdr:row>4</xdr:row>
      <xdr:rowOff>38100</xdr:rowOff>
    </xdr:to>
    <xdr:sp macro="" textlink="">
      <xdr:nvSpPr>
        <xdr:cNvPr id="19553" name="Line 97"/>
        <xdr:cNvSpPr>
          <a:spLocks noChangeShapeType="1"/>
        </xdr:cNvSpPr>
      </xdr:nvSpPr>
      <xdr:spPr bwMode="auto">
        <a:xfrm flipV="1">
          <a:off x="8201025" y="685800"/>
          <a:ext cx="2286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161925</xdr:colOff>
      <xdr:row>5</xdr:row>
      <xdr:rowOff>0</xdr:rowOff>
    </xdr:from>
    <xdr:to>
      <xdr:col>16</xdr:col>
      <xdr:colOff>161925</xdr:colOff>
      <xdr:row>6</xdr:row>
      <xdr:rowOff>47625</xdr:rowOff>
    </xdr:to>
    <xdr:sp macro="" textlink="">
      <xdr:nvSpPr>
        <xdr:cNvPr id="19554" name="Line 98"/>
        <xdr:cNvSpPr>
          <a:spLocks noChangeShapeType="1"/>
        </xdr:cNvSpPr>
      </xdr:nvSpPr>
      <xdr:spPr bwMode="auto">
        <a:xfrm>
          <a:off x="8362950" y="809625"/>
          <a:ext cx="0" cy="2095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152400</xdr:colOff>
      <xdr:row>2</xdr:row>
      <xdr:rowOff>123825</xdr:rowOff>
    </xdr:from>
    <xdr:to>
      <xdr:col>16</xdr:col>
      <xdr:colOff>152400</xdr:colOff>
      <xdr:row>4</xdr:row>
      <xdr:rowOff>28575</xdr:rowOff>
    </xdr:to>
    <xdr:sp macro="" textlink="">
      <xdr:nvSpPr>
        <xdr:cNvPr id="19555" name="Line 99"/>
        <xdr:cNvSpPr>
          <a:spLocks noChangeShapeType="1"/>
        </xdr:cNvSpPr>
      </xdr:nvSpPr>
      <xdr:spPr bwMode="auto">
        <a:xfrm flipV="1">
          <a:off x="8353425" y="447675"/>
          <a:ext cx="0" cy="228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57150</xdr:colOff>
      <xdr:row>2</xdr:row>
      <xdr:rowOff>123825</xdr:rowOff>
    </xdr:from>
    <xdr:to>
      <xdr:col>16</xdr:col>
      <xdr:colOff>152400</xdr:colOff>
      <xdr:row>2</xdr:row>
      <xdr:rowOff>123825</xdr:rowOff>
    </xdr:to>
    <xdr:sp macro="" textlink="">
      <xdr:nvSpPr>
        <xdr:cNvPr id="19556" name="Line 100"/>
        <xdr:cNvSpPr>
          <a:spLocks noChangeShapeType="1"/>
        </xdr:cNvSpPr>
      </xdr:nvSpPr>
      <xdr:spPr bwMode="auto">
        <a:xfrm>
          <a:off x="8258175" y="447675"/>
          <a:ext cx="952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15</xdr:col>
      <xdr:colOff>104775</xdr:colOff>
      <xdr:row>5</xdr:row>
      <xdr:rowOff>85725</xdr:rowOff>
    </xdr:from>
    <xdr:ext cx="209550" cy="238125"/>
    <xdr:sp macro="" textlink="">
      <xdr:nvSpPr>
        <xdr:cNvPr id="19557" name="Text Box 101"/>
        <xdr:cNvSpPr txBox="1">
          <a:spLocks noChangeArrowheads="1"/>
        </xdr:cNvSpPr>
      </xdr:nvSpPr>
      <xdr:spPr bwMode="auto">
        <a:xfrm>
          <a:off x="7781925" y="895350"/>
          <a:ext cx="2095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O</a:t>
          </a:r>
        </a:p>
      </xdr:txBody>
    </xdr:sp>
    <xdr:clientData/>
  </xdr:oneCellAnchor>
  <xdr:twoCellAnchor editAs="oneCell">
    <xdr:from>
      <xdr:col>15</xdr:col>
      <xdr:colOff>428625</xdr:colOff>
      <xdr:row>2</xdr:row>
      <xdr:rowOff>28575</xdr:rowOff>
    </xdr:from>
    <xdr:to>
      <xdr:col>16</xdr:col>
      <xdr:colOff>47625</xdr:colOff>
      <xdr:row>3</xdr:row>
      <xdr:rowOff>85725</xdr:rowOff>
    </xdr:to>
    <xdr:sp macro="" textlink="">
      <xdr:nvSpPr>
        <xdr:cNvPr id="19558" name="Text Box 102"/>
        <xdr:cNvSpPr txBox="1">
          <a:spLocks noChangeArrowheads="1"/>
        </xdr:cNvSpPr>
      </xdr:nvSpPr>
      <xdr:spPr bwMode="auto">
        <a:xfrm>
          <a:off x="8105775" y="352425"/>
          <a:ext cx="1428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C</a:t>
          </a:r>
        </a:p>
      </xdr:txBody>
    </xdr:sp>
    <xdr:clientData/>
  </xdr:twoCellAnchor>
  <xdr:oneCellAnchor>
    <xdr:from>
      <xdr:col>14</xdr:col>
      <xdr:colOff>361950</xdr:colOff>
      <xdr:row>7</xdr:row>
      <xdr:rowOff>38100</xdr:rowOff>
    </xdr:from>
    <xdr:ext cx="847725" cy="200025"/>
    <xdr:sp macro="" textlink="">
      <xdr:nvSpPr>
        <xdr:cNvPr id="19559" name="Text Box 103"/>
        <xdr:cNvSpPr txBox="1">
          <a:spLocks noChangeArrowheads="1"/>
        </xdr:cNvSpPr>
      </xdr:nvSpPr>
      <xdr:spPr bwMode="auto">
        <a:xfrm>
          <a:off x="7515225" y="1171575"/>
          <a:ext cx="847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FF0000"/>
              </a:solidFill>
              <a:latin typeface="Arial"/>
              <a:cs typeface="Arial"/>
            </a:rPr>
            <a:t>Blind Flange</a:t>
          </a:r>
        </a:p>
      </xdr:txBody>
    </xdr:sp>
    <xdr:clientData/>
  </xdr:oneCellAnchor>
  <xdr:twoCellAnchor>
    <xdr:from>
      <xdr:col>10</xdr:col>
      <xdr:colOff>438150</xdr:colOff>
      <xdr:row>3</xdr:row>
      <xdr:rowOff>9525</xdr:rowOff>
    </xdr:from>
    <xdr:to>
      <xdr:col>11</xdr:col>
      <xdr:colOff>47625</xdr:colOff>
      <xdr:row>3</xdr:row>
      <xdr:rowOff>9525</xdr:rowOff>
    </xdr:to>
    <xdr:sp macro="" textlink="">
      <xdr:nvSpPr>
        <xdr:cNvPr id="19560" name="Line 104"/>
        <xdr:cNvSpPr>
          <a:spLocks noChangeShapeType="1"/>
        </xdr:cNvSpPr>
      </xdr:nvSpPr>
      <xdr:spPr bwMode="auto">
        <a:xfrm>
          <a:off x="5648325" y="495300"/>
          <a:ext cx="571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295275</xdr:colOff>
          <xdr:row>1</xdr:row>
          <xdr:rowOff>28575</xdr:rowOff>
        </xdr:from>
        <xdr:to>
          <xdr:col>25</xdr:col>
          <xdr:colOff>352425</xdr:colOff>
          <xdr:row>1</xdr:row>
          <xdr:rowOff>2800350</xdr:rowOff>
        </xdr:to>
        <xdr:sp macro="" textlink="">
          <xdr:nvSpPr>
            <xdr:cNvPr id="39937" name="Object 1" hidden="1">
              <a:extLst>
                <a:ext uri="{63B3BB69-23CF-44E3-9099-C40C66FF867C}">
                  <a14:compatExt spid="_x0000_s399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</xdr:row>
          <xdr:rowOff>28575</xdr:rowOff>
        </xdr:from>
        <xdr:to>
          <xdr:col>25</xdr:col>
          <xdr:colOff>266700</xdr:colOff>
          <xdr:row>1</xdr:row>
          <xdr:rowOff>2790825</xdr:rowOff>
        </xdr:to>
        <xdr:sp macro="" textlink="">
          <xdr:nvSpPr>
            <xdr:cNvPr id="39938" name="Object 2" hidden="1">
              <a:extLst>
                <a:ext uri="{63B3BB69-23CF-44E3-9099-C40C66FF867C}">
                  <a14:compatExt spid="_x0000_s399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295275</xdr:colOff>
          <xdr:row>1</xdr:row>
          <xdr:rowOff>28575</xdr:rowOff>
        </xdr:from>
        <xdr:to>
          <xdr:col>24</xdr:col>
          <xdr:colOff>447675</xdr:colOff>
          <xdr:row>1</xdr:row>
          <xdr:rowOff>2800350</xdr:rowOff>
        </xdr:to>
        <xdr:sp macro="" textlink="">
          <xdr:nvSpPr>
            <xdr:cNvPr id="43009" name="Object 1" hidden="1">
              <a:extLst>
                <a:ext uri="{63B3BB69-23CF-44E3-9099-C40C66FF867C}">
                  <a14:compatExt spid="_x0000_s430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</xdr:row>
          <xdr:rowOff>28575</xdr:rowOff>
        </xdr:from>
        <xdr:to>
          <xdr:col>24</xdr:col>
          <xdr:colOff>361950</xdr:colOff>
          <xdr:row>1</xdr:row>
          <xdr:rowOff>2790825</xdr:rowOff>
        </xdr:to>
        <xdr:sp macro="" textlink="">
          <xdr:nvSpPr>
            <xdr:cNvPr id="43010" name="Object 2" hidden="1">
              <a:extLst>
                <a:ext uri="{63B3BB69-23CF-44E3-9099-C40C66FF867C}">
                  <a14:compatExt spid="_x0000_s430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295275</xdr:colOff>
          <xdr:row>1</xdr:row>
          <xdr:rowOff>28575</xdr:rowOff>
        </xdr:from>
        <xdr:to>
          <xdr:col>25</xdr:col>
          <xdr:colOff>447675</xdr:colOff>
          <xdr:row>1</xdr:row>
          <xdr:rowOff>2800350</xdr:rowOff>
        </xdr:to>
        <xdr:sp macro="" textlink="">
          <xdr:nvSpPr>
            <xdr:cNvPr id="40961" name="Object 1" hidden="1">
              <a:extLst>
                <a:ext uri="{63B3BB69-23CF-44E3-9099-C40C66FF867C}">
                  <a14:compatExt spid="_x0000_s409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</xdr:row>
          <xdr:rowOff>28575</xdr:rowOff>
        </xdr:from>
        <xdr:to>
          <xdr:col>25</xdr:col>
          <xdr:colOff>361950</xdr:colOff>
          <xdr:row>1</xdr:row>
          <xdr:rowOff>2790825</xdr:rowOff>
        </xdr:to>
        <xdr:sp macro="" textlink="">
          <xdr:nvSpPr>
            <xdr:cNvPr id="40962" name="Object 2" hidden="1">
              <a:extLst>
                <a:ext uri="{63B3BB69-23CF-44E3-9099-C40C66FF867C}">
                  <a14:compatExt spid="_x0000_s409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295275</xdr:colOff>
          <xdr:row>1</xdr:row>
          <xdr:rowOff>28575</xdr:rowOff>
        </xdr:from>
        <xdr:to>
          <xdr:col>26</xdr:col>
          <xdr:colOff>152400</xdr:colOff>
          <xdr:row>1</xdr:row>
          <xdr:rowOff>2800350</xdr:rowOff>
        </xdr:to>
        <xdr:sp macro="" textlink="">
          <xdr:nvSpPr>
            <xdr:cNvPr id="41985" name="Object 1" hidden="1">
              <a:extLst>
                <a:ext uri="{63B3BB69-23CF-44E3-9099-C40C66FF867C}">
                  <a14:compatExt spid="_x0000_s419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</xdr:row>
          <xdr:rowOff>28575</xdr:rowOff>
        </xdr:from>
        <xdr:to>
          <xdr:col>26</xdr:col>
          <xdr:colOff>76200</xdr:colOff>
          <xdr:row>1</xdr:row>
          <xdr:rowOff>2800350</xdr:rowOff>
        </xdr:to>
        <xdr:sp macro="" textlink="">
          <xdr:nvSpPr>
            <xdr:cNvPr id="41986" name="Object 2" hidden="1">
              <a:extLst>
                <a:ext uri="{63B3BB69-23CF-44E3-9099-C40C66FF867C}">
                  <a14:compatExt spid="_x0000_s419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</xdr:row>
          <xdr:rowOff>19050</xdr:rowOff>
        </xdr:from>
        <xdr:to>
          <xdr:col>10</xdr:col>
          <xdr:colOff>600075</xdr:colOff>
          <xdr:row>1</xdr:row>
          <xdr:rowOff>1352550</xdr:rowOff>
        </xdr:to>
        <xdr:sp macro="" textlink="">
          <xdr:nvSpPr>
            <xdr:cNvPr id="44033" name="Object 1" hidden="1">
              <a:extLst>
                <a:ext uri="{63B3BB69-23CF-44E3-9099-C40C66FF867C}">
                  <a14:compatExt spid="_x0000_s44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19050</xdr:colOff>
      <xdr:row>7</xdr:row>
      <xdr:rowOff>0</xdr:rowOff>
    </xdr:from>
    <xdr:to>
      <xdr:col>9</xdr:col>
      <xdr:colOff>9525</xdr:colOff>
      <xdr:row>7</xdr:row>
      <xdr:rowOff>0</xdr:rowOff>
    </xdr:to>
    <xdr:sp macro="" textlink="">
      <xdr:nvSpPr>
        <xdr:cNvPr id="1071" name="Line 47"/>
        <xdr:cNvSpPr>
          <a:spLocks noChangeShapeType="1"/>
        </xdr:cNvSpPr>
      </xdr:nvSpPr>
      <xdr:spPr bwMode="auto">
        <a:xfrm>
          <a:off x="4152900" y="1381125"/>
          <a:ext cx="1257300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28575</xdr:colOff>
      <xdr:row>7</xdr:row>
      <xdr:rowOff>19050</xdr:rowOff>
    </xdr:from>
    <xdr:to>
      <xdr:col>7</xdr:col>
      <xdr:colOff>28575</xdr:colOff>
      <xdr:row>7</xdr:row>
      <xdr:rowOff>66675</xdr:rowOff>
    </xdr:to>
    <xdr:sp macro="" textlink="">
      <xdr:nvSpPr>
        <xdr:cNvPr id="1072" name="Line 48"/>
        <xdr:cNvSpPr>
          <a:spLocks noChangeShapeType="1"/>
        </xdr:cNvSpPr>
      </xdr:nvSpPr>
      <xdr:spPr bwMode="auto">
        <a:xfrm>
          <a:off x="4162425" y="1400175"/>
          <a:ext cx="0" cy="476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6</xdr:row>
      <xdr:rowOff>152400</xdr:rowOff>
    </xdr:from>
    <xdr:to>
      <xdr:col>9</xdr:col>
      <xdr:colOff>19050</xdr:colOff>
      <xdr:row>7</xdr:row>
      <xdr:rowOff>66675</xdr:rowOff>
    </xdr:to>
    <xdr:sp macro="" textlink="">
      <xdr:nvSpPr>
        <xdr:cNvPr id="1073" name="Line 49"/>
        <xdr:cNvSpPr>
          <a:spLocks noChangeShapeType="1"/>
        </xdr:cNvSpPr>
      </xdr:nvSpPr>
      <xdr:spPr bwMode="auto">
        <a:xfrm>
          <a:off x="5410200" y="1371600"/>
          <a:ext cx="9525" cy="7620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38100</xdr:colOff>
      <xdr:row>7</xdr:row>
      <xdr:rowOff>66675</xdr:rowOff>
    </xdr:from>
    <xdr:to>
      <xdr:col>7</xdr:col>
      <xdr:colOff>561975</xdr:colOff>
      <xdr:row>7</xdr:row>
      <xdr:rowOff>66675</xdr:rowOff>
    </xdr:to>
    <xdr:sp macro="" textlink="">
      <xdr:nvSpPr>
        <xdr:cNvPr id="1074" name="Line 50"/>
        <xdr:cNvSpPr>
          <a:spLocks noChangeShapeType="1"/>
        </xdr:cNvSpPr>
      </xdr:nvSpPr>
      <xdr:spPr bwMode="auto">
        <a:xfrm flipV="1">
          <a:off x="4171950" y="1447800"/>
          <a:ext cx="52387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38100</xdr:colOff>
      <xdr:row>7</xdr:row>
      <xdr:rowOff>66675</xdr:rowOff>
    </xdr:from>
    <xdr:to>
      <xdr:col>9</xdr:col>
      <xdr:colOff>19050</xdr:colOff>
      <xdr:row>7</xdr:row>
      <xdr:rowOff>66675</xdr:rowOff>
    </xdr:to>
    <xdr:sp macro="" textlink="">
      <xdr:nvSpPr>
        <xdr:cNvPr id="1075" name="Line 51"/>
        <xdr:cNvSpPr>
          <a:spLocks noChangeShapeType="1"/>
        </xdr:cNvSpPr>
      </xdr:nvSpPr>
      <xdr:spPr bwMode="auto">
        <a:xfrm flipH="1">
          <a:off x="4791075" y="1447800"/>
          <a:ext cx="628650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19050</xdr:colOff>
      <xdr:row>14</xdr:row>
      <xdr:rowOff>142875</xdr:rowOff>
    </xdr:from>
    <xdr:to>
      <xdr:col>9</xdr:col>
      <xdr:colOff>19050</xdr:colOff>
      <xdr:row>14</xdr:row>
      <xdr:rowOff>142875</xdr:rowOff>
    </xdr:to>
    <xdr:sp macro="" textlink="">
      <xdr:nvSpPr>
        <xdr:cNvPr id="1076" name="Line 52"/>
        <xdr:cNvSpPr>
          <a:spLocks noChangeShapeType="1"/>
        </xdr:cNvSpPr>
      </xdr:nvSpPr>
      <xdr:spPr bwMode="auto">
        <a:xfrm>
          <a:off x="4152900" y="2809875"/>
          <a:ext cx="1266825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581025</xdr:colOff>
      <xdr:row>7</xdr:row>
      <xdr:rowOff>66675</xdr:rowOff>
    </xdr:from>
    <xdr:to>
      <xdr:col>7</xdr:col>
      <xdr:colOff>581025</xdr:colOff>
      <xdr:row>14</xdr:row>
      <xdr:rowOff>57150</xdr:rowOff>
    </xdr:to>
    <xdr:sp macro="" textlink="">
      <xdr:nvSpPr>
        <xdr:cNvPr id="1077" name="Line 53"/>
        <xdr:cNvSpPr>
          <a:spLocks noChangeShapeType="1"/>
        </xdr:cNvSpPr>
      </xdr:nvSpPr>
      <xdr:spPr bwMode="auto">
        <a:xfrm>
          <a:off x="4714875" y="1447800"/>
          <a:ext cx="0" cy="127635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19050</xdr:colOff>
      <xdr:row>14</xdr:row>
      <xdr:rowOff>76200</xdr:rowOff>
    </xdr:from>
    <xdr:to>
      <xdr:col>7</xdr:col>
      <xdr:colOff>552450</xdr:colOff>
      <xdr:row>14</xdr:row>
      <xdr:rowOff>76200</xdr:rowOff>
    </xdr:to>
    <xdr:sp macro="" textlink="">
      <xdr:nvSpPr>
        <xdr:cNvPr id="1078" name="Line 54"/>
        <xdr:cNvSpPr>
          <a:spLocks noChangeShapeType="1"/>
        </xdr:cNvSpPr>
      </xdr:nvSpPr>
      <xdr:spPr bwMode="auto">
        <a:xfrm flipH="1">
          <a:off x="4152900" y="2743200"/>
          <a:ext cx="533400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19050</xdr:colOff>
      <xdr:row>14</xdr:row>
      <xdr:rowOff>76200</xdr:rowOff>
    </xdr:from>
    <xdr:to>
      <xdr:col>7</xdr:col>
      <xdr:colOff>28575</xdr:colOff>
      <xdr:row>15</xdr:row>
      <xdr:rowOff>0</xdr:rowOff>
    </xdr:to>
    <xdr:sp macro="" textlink="">
      <xdr:nvSpPr>
        <xdr:cNvPr id="1079" name="Line 55"/>
        <xdr:cNvSpPr>
          <a:spLocks noChangeShapeType="1"/>
        </xdr:cNvSpPr>
      </xdr:nvSpPr>
      <xdr:spPr bwMode="auto">
        <a:xfrm flipH="1">
          <a:off x="4152900" y="2743200"/>
          <a:ext cx="9525" cy="857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523875</xdr:colOff>
      <xdr:row>14</xdr:row>
      <xdr:rowOff>28575</xdr:rowOff>
    </xdr:from>
    <xdr:to>
      <xdr:col>7</xdr:col>
      <xdr:colOff>590550</xdr:colOff>
      <xdr:row>14</xdr:row>
      <xdr:rowOff>76200</xdr:rowOff>
    </xdr:to>
    <xdr:sp macro="" textlink="">
      <xdr:nvSpPr>
        <xdr:cNvPr id="1080" name="Line 56"/>
        <xdr:cNvSpPr>
          <a:spLocks noChangeShapeType="1"/>
        </xdr:cNvSpPr>
      </xdr:nvSpPr>
      <xdr:spPr bwMode="auto">
        <a:xfrm flipH="1">
          <a:off x="4657725" y="2695575"/>
          <a:ext cx="66675" cy="476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9525</xdr:colOff>
      <xdr:row>7</xdr:row>
      <xdr:rowOff>66675</xdr:rowOff>
    </xdr:from>
    <xdr:to>
      <xdr:col>8</xdr:col>
      <xdr:colOff>9525</xdr:colOff>
      <xdr:row>14</xdr:row>
      <xdr:rowOff>19050</xdr:rowOff>
    </xdr:to>
    <xdr:sp macro="" textlink="">
      <xdr:nvSpPr>
        <xdr:cNvPr id="1081" name="Line 57"/>
        <xdr:cNvSpPr>
          <a:spLocks noChangeShapeType="1"/>
        </xdr:cNvSpPr>
      </xdr:nvSpPr>
      <xdr:spPr bwMode="auto">
        <a:xfrm>
          <a:off x="4762500" y="1447800"/>
          <a:ext cx="0" cy="123825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28575</xdr:colOff>
      <xdr:row>14</xdr:row>
      <xdr:rowOff>19050</xdr:rowOff>
    </xdr:from>
    <xdr:to>
      <xdr:col>8</xdr:col>
      <xdr:colOff>57150</xdr:colOff>
      <xdr:row>14</xdr:row>
      <xdr:rowOff>66675</xdr:rowOff>
    </xdr:to>
    <xdr:sp macro="" textlink="">
      <xdr:nvSpPr>
        <xdr:cNvPr id="1082" name="Line 58"/>
        <xdr:cNvSpPr>
          <a:spLocks noChangeShapeType="1"/>
        </xdr:cNvSpPr>
      </xdr:nvSpPr>
      <xdr:spPr bwMode="auto">
        <a:xfrm>
          <a:off x="4781550" y="2686050"/>
          <a:ext cx="28575" cy="476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47625</xdr:colOff>
      <xdr:row>14</xdr:row>
      <xdr:rowOff>66675</xdr:rowOff>
    </xdr:from>
    <xdr:to>
      <xdr:col>9</xdr:col>
      <xdr:colOff>9525</xdr:colOff>
      <xdr:row>14</xdr:row>
      <xdr:rowOff>66675</xdr:rowOff>
    </xdr:to>
    <xdr:sp macro="" textlink="">
      <xdr:nvSpPr>
        <xdr:cNvPr id="1083" name="Line 59"/>
        <xdr:cNvSpPr>
          <a:spLocks noChangeShapeType="1"/>
        </xdr:cNvSpPr>
      </xdr:nvSpPr>
      <xdr:spPr bwMode="auto">
        <a:xfrm>
          <a:off x="4800600" y="2733675"/>
          <a:ext cx="609600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14</xdr:row>
      <xdr:rowOff>66675</xdr:rowOff>
    </xdr:from>
    <xdr:to>
      <xdr:col>9</xdr:col>
      <xdr:colOff>9525</xdr:colOff>
      <xdr:row>14</xdr:row>
      <xdr:rowOff>142875</xdr:rowOff>
    </xdr:to>
    <xdr:sp macro="" textlink="">
      <xdr:nvSpPr>
        <xdr:cNvPr id="1084" name="Line 60"/>
        <xdr:cNvSpPr>
          <a:spLocks noChangeShapeType="1"/>
        </xdr:cNvSpPr>
      </xdr:nvSpPr>
      <xdr:spPr bwMode="auto">
        <a:xfrm flipH="1">
          <a:off x="5400675" y="2733675"/>
          <a:ext cx="9525" cy="7620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9525</xdr:colOff>
      <xdr:row>1</xdr:row>
      <xdr:rowOff>123825</xdr:rowOff>
    </xdr:from>
    <xdr:to>
      <xdr:col>7</xdr:col>
      <xdr:colOff>9525</xdr:colOff>
      <xdr:row>6</xdr:row>
      <xdr:rowOff>104775</xdr:rowOff>
    </xdr:to>
    <xdr:sp macro="" textlink="">
      <xdr:nvSpPr>
        <xdr:cNvPr id="1085" name="Line 61"/>
        <xdr:cNvSpPr>
          <a:spLocks noChangeShapeType="1"/>
        </xdr:cNvSpPr>
      </xdr:nvSpPr>
      <xdr:spPr bwMode="auto">
        <a:xfrm flipV="1">
          <a:off x="4143375" y="285750"/>
          <a:ext cx="0" cy="10382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</xdr:row>
      <xdr:rowOff>95250</xdr:rowOff>
    </xdr:from>
    <xdr:to>
      <xdr:col>9</xdr:col>
      <xdr:colOff>9525</xdr:colOff>
      <xdr:row>6</xdr:row>
      <xdr:rowOff>104775</xdr:rowOff>
    </xdr:to>
    <xdr:sp macro="" textlink="">
      <xdr:nvSpPr>
        <xdr:cNvPr id="1086" name="Line 62"/>
        <xdr:cNvSpPr>
          <a:spLocks noChangeShapeType="1"/>
        </xdr:cNvSpPr>
      </xdr:nvSpPr>
      <xdr:spPr bwMode="auto">
        <a:xfrm flipV="1">
          <a:off x="5410200" y="257175"/>
          <a:ext cx="0" cy="106680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2</xdr:row>
      <xdr:rowOff>19050</xdr:rowOff>
    </xdr:from>
    <xdr:to>
      <xdr:col>8</xdr:col>
      <xdr:colOff>638175</xdr:colOff>
      <xdr:row>2</xdr:row>
      <xdr:rowOff>19050</xdr:rowOff>
    </xdr:to>
    <xdr:sp macro="" textlink="">
      <xdr:nvSpPr>
        <xdr:cNvPr id="1087" name="Line 63"/>
        <xdr:cNvSpPr>
          <a:spLocks noChangeShapeType="1"/>
        </xdr:cNvSpPr>
      </xdr:nvSpPr>
      <xdr:spPr bwMode="auto">
        <a:xfrm>
          <a:off x="4133850" y="381000"/>
          <a:ext cx="12573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257175</xdr:colOff>
      <xdr:row>6</xdr:row>
      <xdr:rowOff>152400</xdr:rowOff>
    </xdr:from>
    <xdr:to>
      <xdr:col>7</xdr:col>
      <xdr:colOff>371475</xdr:colOff>
      <xdr:row>7</xdr:row>
      <xdr:rowOff>66675</xdr:rowOff>
    </xdr:to>
    <xdr:sp macro="" textlink="">
      <xdr:nvSpPr>
        <xdr:cNvPr id="1088" name="Rectangle 64"/>
        <xdr:cNvSpPr>
          <a:spLocks noChangeArrowheads="1"/>
        </xdr:cNvSpPr>
      </xdr:nvSpPr>
      <xdr:spPr bwMode="auto">
        <a:xfrm>
          <a:off x="4391025" y="1371600"/>
          <a:ext cx="114300" cy="762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276225</xdr:colOff>
      <xdr:row>6</xdr:row>
      <xdr:rowOff>152400</xdr:rowOff>
    </xdr:from>
    <xdr:to>
      <xdr:col>8</xdr:col>
      <xdr:colOff>361950</xdr:colOff>
      <xdr:row>7</xdr:row>
      <xdr:rowOff>76200</xdr:rowOff>
    </xdr:to>
    <xdr:sp macro="" textlink="">
      <xdr:nvSpPr>
        <xdr:cNvPr id="1089" name="Rectangle 65"/>
        <xdr:cNvSpPr>
          <a:spLocks noChangeArrowheads="1"/>
        </xdr:cNvSpPr>
      </xdr:nvSpPr>
      <xdr:spPr bwMode="auto">
        <a:xfrm>
          <a:off x="5029200" y="1371600"/>
          <a:ext cx="85725" cy="85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314325</xdr:colOff>
      <xdr:row>2</xdr:row>
      <xdr:rowOff>247650</xdr:rowOff>
    </xdr:from>
    <xdr:to>
      <xdr:col>7</xdr:col>
      <xdr:colOff>314325</xdr:colOff>
      <xdr:row>8</xdr:row>
      <xdr:rowOff>0</xdr:rowOff>
    </xdr:to>
    <xdr:sp macro="" textlink="">
      <xdr:nvSpPr>
        <xdr:cNvPr id="1090" name="Line 66"/>
        <xdr:cNvSpPr>
          <a:spLocks noChangeShapeType="1"/>
        </xdr:cNvSpPr>
      </xdr:nvSpPr>
      <xdr:spPr bwMode="auto">
        <a:xfrm flipV="1">
          <a:off x="4448175" y="609600"/>
          <a:ext cx="0" cy="9334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lgDashDot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323850</xdr:colOff>
      <xdr:row>2</xdr:row>
      <xdr:rowOff>266700</xdr:rowOff>
    </xdr:from>
    <xdr:to>
      <xdr:col>8</xdr:col>
      <xdr:colOff>333375</xdr:colOff>
      <xdr:row>8</xdr:row>
      <xdr:rowOff>0</xdr:rowOff>
    </xdr:to>
    <xdr:sp macro="" textlink="">
      <xdr:nvSpPr>
        <xdr:cNvPr id="1091" name="Line 67"/>
        <xdr:cNvSpPr>
          <a:spLocks noChangeShapeType="1"/>
        </xdr:cNvSpPr>
      </xdr:nvSpPr>
      <xdr:spPr bwMode="auto">
        <a:xfrm flipH="1" flipV="1">
          <a:off x="5076825" y="628650"/>
          <a:ext cx="9525" cy="91440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lgDashDot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304800</xdr:colOff>
      <xdr:row>3</xdr:row>
      <xdr:rowOff>19050</xdr:rowOff>
    </xdr:from>
    <xdr:to>
      <xdr:col>8</xdr:col>
      <xdr:colOff>333375</xdr:colOff>
      <xdr:row>3</xdr:row>
      <xdr:rowOff>19050</xdr:rowOff>
    </xdr:to>
    <xdr:sp macro="" textlink="">
      <xdr:nvSpPr>
        <xdr:cNvPr id="1092" name="Line 68"/>
        <xdr:cNvSpPr>
          <a:spLocks noChangeShapeType="1"/>
        </xdr:cNvSpPr>
      </xdr:nvSpPr>
      <xdr:spPr bwMode="auto">
        <a:xfrm>
          <a:off x="4438650" y="676275"/>
          <a:ext cx="6477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419100</xdr:colOff>
      <xdr:row>7</xdr:row>
      <xdr:rowOff>0</xdr:rowOff>
    </xdr:from>
    <xdr:to>
      <xdr:col>6</xdr:col>
      <xdr:colOff>571500</xdr:colOff>
      <xdr:row>7</xdr:row>
      <xdr:rowOff>0</xdr:rowOff>
    </xdr:to>
    <xdr:sp macro="" textlink="">
      <xdr:nvSpPr>
        <xdr:cNvPr id="1093" name="Line 69"/>
        <xdr:cNvSpPr>
          <a:spLocks noChangeShapeType="1"/>
        </xdr:cNvSpPr>
      </xdr:nvSpPr>
      <xdr:spPr bwMode="auto">
        <a:xfrm flipH="1">
          <a:off x="3333750" y="1381125"/>
          <a:ext cx="7620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457200</xdr:colOff>
      <xdr:row>14</xdr:row>
      <xdr:rowOff>152400</xdr:rowOff>
    </xdr:from>
    <xdr:to>
      <xdr:col>6</xdr:col>
      <xdr:colOff>590550</xdr:colOff>
      <xdr:row>14</xdr:row>
      <xdr:rowOff>152400</xdr:rowOff>
    </xdr:to>
    <xdr:sp macro="" textlink="">
      <xdr:nvSpPr>
        <xdr:cNvPr id="1094" name="Line 70"/>
        <xdr:cNvSpPr>
          <a:spLocks noChangeShapeType="1"/>
        </xdr:cNvSpPr>
      </xdr:nvSpPr>
      <xdr:spPr bwMode="auto">
        <a:xfrm flipH="1">
          <a:off x="3371850" y="2819400"/>
          <a:ext cx="7429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533400</xdr:colOff>
      <xdr:row>6</xdr:row>
      <xdr:rowOff>152400</xdr:rowOff>
    </xdr:from>
    <xdr:to>
      <xdr:col>5</xdr:col>
      <xdr:colOff>533400</xdr:colOff>
      <xdr:row>14</xdr:row>
      <xdr:rowOff>142875</xdr:rowOff>
    </xdr:to>
    <xdr:sp macro="" textlink="">
      <xdr:nvSpPr>
        <xdr:cNvPr id="1095" name="Line 71"/>
        <xdr:cNvSpPr>
          <a:spLocks noChangeShapeType="1"/>
        </xdr:cNvSpPr>
      </xdr:nvSpPr>
      <xdr:spPr bwMode="auto">
        <a:xfrm flipV="1">
          <a:off x="3448050" y="1371600"/>
          <a:ext cx="0" cy="143827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180975</xdr:colOff>
      <xdr:row>12</xdr:row>
      <xdr:rowOff>85725</xdr:rowOff>
    </xdr:from>
    <xdr:to>
      <xdr:col>7</xdr:col>
      <xdr:colOff>561975</xdr:colOff>
      <xdr:row>12</xdr:row>
      <xdr:rowOff>85725</xdr:rowOff>
    </xdr:to>
    <xdr:sp macro="" textlink="">
      <xdr:nvSpPr>
        <xdr:cNvPr id="1096" name="Line 72"/>
        <xdr:cNvSpPr>
          <a:spLocks noChangeShapeType="1"/>
        </xdr:cNvSpPr>
      </xdr:nvSpPr>
      <xdr:spPr bwMode="auto">
        <a:xfrm>
          <a:off x="4314825" y="2390775"/>
          <a:ext cx="3810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28575</xdr:colOff>
      <xdr:row>12</xdr:row>
      <xdr:rowOff>85725</xdr:rowOff>
    </xdr:from>
    <xdr:to>
      <xdr:col>8</xdr:col>
      <xdr:colOff>314325</xdr:colOff>
      <xdr:row>12</xdr:row>
      <xdr:rowOff>85725</xdr:rowOff>
    </xdr:to>
    <xdr:sp macro="" textlink="">
      <xdr:nvSpPr>
        <xdr:cNvPr id="1097" name="Line 73"/>
        <xdr:cNvSpPr>
          <a:spLocks noChangeShapeType="1"/>
        </xdr:cNvSpPr>
      </xdr:nvSpPr>
      <xdr:spPr bwMode="auto">
        <a:xfrm>
          <a:off x="4781550" y="2390775"/>
          <a:ext cx="2857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180975</xdr:colOff>
      <xdr:row>7</xdr:row>
      <xdr:rowOff>76200</xdr:rowOff>
    </xdr:from>
    <xdr:to>
      <xdr:col>6</xdr:col>
      <xdr:colOff>600075</xdr:colOff>
      <xdr:row>7</xdr:row>
      <xdr:rowOff>76200</xdr:rowOff>
    </xdr:to>
    <xdr:sp macro="" textlink="">
      <xdr:nvSpPr>
        <xdr:cNvPr id="1098" name="Line 74"/>
        <xdr:cNvSpPr>
          <a:spLocks noChangeShapeType="1"/>
        </xdr:cNvSpPr>
      </xdr:nvSpPr>
      <xdr:spPr bwMode="auto">
        <a:xfrm flipH="1">
          <a:off x="3705225" y="1457325"/>
          <a:ext cx="4191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238125</xdr:colOff>
      <xdr:row>7</xdr:row>
      <xdr:rowOff>66675</xdr:rowOff>
    </xdr:from>
    <xdr:to>
      <xdr:col>6</xdr:col>
      <xdr:colOff>238125</xdr:colOff>
      <xdr:row>8</xdr:row>
      <xdr:rowOff>133350</xdr:rowOff>
    </xdr:to>
    <xdr:sp macro="" textlink="">
      <xdr:nvSpPr>
        <xdr:cNvPr id="1099" name="Line 75"/>
        <xdr:cNvSpPr>
          <a:spLocks noChangeShapeType="1"/>
        </xdr:cNvSpPr>
      </xdr:nvSpPr>
      <xdr:spPr bwMode="auto">
        <a:xfrm>
          <a:off x="3762375" y="1447800"/>
          <a:ext cx="0" cy="22860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228600</xdr:colOff>
      <xdr:row>5</xdr:row>
      <xdr:rowOff>76200</xdr:rowOff>
    </xdr:from>
    <xdr:to>
      <xdr:col>6</xdr:col>
      <xdr:colOff>228600</xdr:colOff>
      <xdr:row>6</xdr:row>
      <xdr:rowOff>142875</xdr:rowOff>
    </xdr:to>
    <xdr:sp macro="" textlink="">
      <xdr:nvSpPr>
        <xdr:cNvPr id="1100" name="Line 76"/>
        <xdr:cNvSpPr>
          <a:spLocks noChangeShapeType="1"/>
        </xdr:cNvSpPr>
      </xdr:nvSpPr>
      <xdr:spPr bwMode="auto">
        <a:xfrm flipV="1">
          <a:off x="3752850" y="1095375"/>
          <a:ext cx="0" cy="26670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314325</xdr:colOff>
      <xdr:row>5</xdr:row>
      <xdr:rowOff>85725</xdr:rowOff>
    </xdr:from>
    <xdr:to>
      <xdr:col>6</xdr:col>
      <xdr:colOff>219075</xdr:colOff>
      <xdr:row>5</xdr:row>
      <xdr:rowOff>85725</xdr:rowOff>
    </xdr:to>
    <xdr:sp macro="" textlink="">
      <xdr:nvSpPr>
        <xdr:cNvPr id="1101" name="Line 77"/>
        <xdr:cNvSpPr>
          <a:spLocks noChangeShapeType="1"/>
        </xdr:cNvSpPr>
      </xdr:nvSpPr>
      <xdr:spPr bwMode="auto">
        <a:xfrm>
          <a:off x="3228975" y="1104900"/>
          <a:ext cx="5143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590550</xdr:colOff>
      <xdr:row>4</xdr:row>
      <xdr:rowOff>95250</xdr:rowOff>
    </xdr:from>
    <xdr:to>
      <xdr:col>7</xdr:col>
      <xdr:colOff>600075</xdr:colOff>
      <xdr:row>7</xdr:row>
      <xdr:rowOff>123825</xdr:rowOff>
    </xdr:to>
    <xdr:sp macro="" textlink="">
      <xdr:nvSpPr>
        <xdr:cNvPr id="1102" name="Line 78"/>
        <xdr:cNvSpPr>
          <a:spLocks noChangeShapeType="1"/>
        </xdr:cNvSpPr>
      </xdr:nvSpPr>
      <xdr:spPr bwMode="auto">
        <a:xfrm flipH="1" flipV="1">
          <a:off x="4724400" y="914400"/>
          <a:ext cx="9525" cy="5905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prstDash val="lgDashDot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57150</xdr:colOff>
      <xdr:row>4</xdr:row>
      <xdr:rowOff>95250</xdr:rowOff>
    </xdr:from>
    <xdr:to>
      <xdr:col>8</xdr:col>
      <xdr:colOff>57150</xdr:colOff>
      <xdr:row>7</xdr:row>
      <xdr:rowOff>76200</xdr:rowOff>
    </xdr:to>
    <xdr:sp macro="" textlink="">
      <xdr:nvSpPr>
        <xdr:cNvPr id="1103" name="Line 79"/>
        <xdr:cNvSpPr>
          <a:spLocks noChangeShapeType="1"/>
        </xdr:cNvSpPr>
      </xdr:nvSpPr>
      <xdr:spPr bwMode="auto">
        <a:xfrm flipV="1">
          <a:off x="4810125" y="914400"/>
          <a:ext cx="0" cy="5429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361950</xdr:colOff>
      <xdr:row>5</xdr:row>
      <xdr:rowOff>19050</xdr:rowOff>
    </xdr:from>
    <xdr:to>
      <xdr:col>7</xdr:col>
      <xdr:colOff>581025</xdr:colOff>
      <xdr:row>5</xdr:row>
      <xdr:rowOff>19050</xdr:rowOff>
    </xdr:to>
    <xdr:sp macro="" textlink="">
      <xdr:nvSpPr>
        <xdr:cNvPr id="1104" name="Line 80"/>
        <xdr:cNvSpPr>
          <a:spLocks noChangeShapeType="1"/>
        </xdr:cNvSpPr>
      </xdr:nvSpPr>
      <xdr:spPr bwMode="auto">
        <a:xfrm flipH="1">
          <a:off x="4495800" y="1038225"/>
          <a:ext cx="2190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66675</xdr:colOff>
      <xdr:row>5</xdr:row>
      <xdr:rowOff>19050</xdr:rowOff>
    </xdr:from>
    <xdr:to>
      <xdr:col>8</xdr:col>
      <xdr:colOff>257175</xdr:colOff>
      <xdr:row>5</xdr:row>
      <xdr:rowOff>19050</xdr:rowOff>
    </xdr:to>
    <xdr:sp macro="" textlink="">
      <xdr:nvSpPr>
        <xdr:cNvPr id="1105" name="Line 81"/>
        <xdr:cNvSpPr>
          <a:spLocks noChangeShapeType="1"/>
        </xdr:cNvSpPr>
      </xdr:nvSpPr>
      <xdr:spPr bwMode="auto">
        <a:xfrm>
          <a:off x="4819650" y="1038225"/>
          <a:ext cx="1905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95250</xdr:colOff>
      <xdr:row>6</xdr:row>
      <xdr:rowOff>152400</xdr:rowOff>
    </xdr:from>
    <xdr:to>
      <xdr:col>10</xdr:col>
      <xdr:colOff>314325</xdr:colOff>
      <xdr:row>7</xdr:row>
      <xdr:rowOff>0</xdr:rowOff>
    </xdr:to>
    <xdr:sp macro="" textlink="">
      <xdr:nvSpPr>
        <xdr:cNvPr id="1106" name="Line 82"/>
        <xdr:cNvSpPr>
          <a:spLocks noChangeShapeType="1"/>
        </xdr:cNvSpPr>
      </xdr:nvSpPr>
      <xdr:spPr bwMode="auto">
        <a:xfrm flipV="1">
          <a:off x="5495925" y="1371600"/>
          <a:ext cx="885825" cy="95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76200</xdr:colOff>
      <xdr:row>7</xdr:row>
      <xdr:rowOff>133350</xdr:rowOff>
    </xdr:from>
    <xdr:to>
      <xdr:col>9</xdr:col>
      <xdr:colOff>571500</xdr:colOff>
      <xdr:row>7</xdr:row>
      <xdr:rowOff>133350</xdr:rowOff>
    </xdr:to>
    <xdr:sp macro="" textlink="">
      <xdr:nvSpPr>
        <xdr:cNvPr id="1107" name="Line 83"/>
        <xdr:cNvSpPr>
          <a:spLocks noChangeShapeType="1"/>
        </xdr:cNvSpPr>
      </xdr:nvSpPr>
      <xdr:spPr bwMode="auto">
        <a:xfrm>
          <a:off x="4829175" y="1514475"/>
          <a:ext cx="11430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514350</xdr:colOff>
      <xdr:row>5</xdr:row>
      <xdr:rowOff>114300</xdr:rowOff>
    </xdr:from>
    <xdr:to>
      <xdr:col>9</xdr:col>
      <xdr:colOff>514350</xdr:colOff>
      <xdr:row>6</xdr:row>
      <xdr:rowOff>152400</xdr:rowOff>
    </xdr:to>
    <xdr:sp macro="" textlink="">
      <xdr:nvSpPr>
        <xdr:cNvPr id="1108" name="Line 84"/>
        <xdr:cNvSpPr>
          <a:spLocks noChangeShapeType="1"/>
        </xdr:cNvSpPr>
      </xdr:nvSpPr>
      <xdr:spPr bwMode="auto">
        <a:xfrm flipV="1">
          <a:off x="5915025" y="1133475"/>
          <a:ext cx="0" cy="2381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523875</xdr:colOff>
      <xdr:row>7</xdr:row>
      <xdr:rowOff>133350</xdr:rowOff>
    </xdr:from>
    <xdr:to>
      <xdr:col>9</xdr:col>
      <xdr:colOff>523875</xdr:colOff>
      <xdr:row>9</xdr:row>
      <xdr:rowOff>0</xdr:rowOff>
    </xdr:to>
    <xdr:sp macro="" textlink="">
      <xdr:nvSpPr>
        <xdr:cNvPr id="1109" name="Line 85"/>
        <xdr:cNvSpPr>
          <a:spLocks noChangeShapeType="1"/>
        </xdr:cNvSpPr>
      </xdr:nvSpPr>
      <xdr:spPr bwMode="auto">
        <a:xfrm>
          <a:off x="5924550" y="1514475"/>
          <a:ext cx="0" cy="22860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523875</xdr:colOff>
      <xdr:row>5</xdr:row>
      <xdr:rowOff>104775</xdr:rowOff>
    </xdr:from>
    <xdr:to>
      <xdr:col>10</xdr:col>
      <xdr:colOff>66675</xdr:colOff>
      <xdr:row>5</xdr:row>
      <xdr:rowOff>104775</xdr:rowOff>
    </xdr:to>
    <xdr:sp macro="" textlink="">
      <xdr:nvSpPr>
        <xdr:cNvPr id="1110" name="Line 86"/>
        <xdr:cNvSpPr>
          <a:spLocks noChangeShapeType="1"/>
        </xdr:cNvSpPr>
      </xdr:nvSpPr>
      <xdr:spPr bwMode="auto">
        <a:xfrm>
          <a:off x="5924550" y="1123950"/>
          <a:ext cx="2095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457200</xdr:colOff>
      <xdr:row>9</xdr:row>
      <xdr:rowOff>152400</xdr:rowOff>
    </xdr:from>
    <xdr:to>
      <xdr:col>10</xdr:col>
      <xdr:colOff>314325</xdr:colOff>
      <xdr:row>9</xdr:row>
      <xdr:rowOff>152400</xdr:rowOff>
    </xdr:to>
    <xdr:sp macro="" textlink="">
      <xdr:nvSpPr>
        <xdr:cNvPr id="1111" name="Line 87"/>
        <xdr:cNvSpPr>
          <a:spLocks noChangeShapeType="1"/>
        </xdr:cNvSpPr>
      </xdr:nvSpPr>
      <xdr:spPr bwMode="auto">
        <a:xfrm>
          <a:off x="4591050" y="1895475"/>
          <a:ext cx="17907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lgDashDot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571500</xdr:colOff>
      <xdr:row>9</xdr:row>
      <xdr:rowOff>95250</xdr:rowOff>
    </xdr:from>
    <xdr:to>
      <xdr:col>8</xdr:col>
      <xdr:colOff>38100</xdr:colOff>
      <xdr:row>10</xdr:row>
      <xdr:rowOff>66675</xdr:rowOff>
    </xdr:to>
    <xdr:sp macro="" textlink="">
      <xdr:nvSpPr>
        <xdr:cNvPr id="1112" name="Rectangle 88"/>
        <xdr:cNvSpPr>
          <a:spLocks noChangeArrowheads="1"/>
        </xdr:cNvSpPr>
      </xdr:nvSpPr>
      <xdr:spPr bwMode="auto">
        <a:xfrm>
          <a:off x="4705350" y="1838325"/>
          <a:ext cx="85725" cy="133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219075</xdr:colOff>
      <xdr:row>9</xdr:row>
      <xdr:rowOff>28575</xdr:rowOff>
    </xdr:from>
    <xdr:to>
      <xdr:col>10</xdr:col>
      <xdr:colOff>219075</xdr:colOff>
      <xdr:row>9</xdr:row>
      <xdr:rowOff>152400</xdr:rowOff>
    </xdr:to>
    <xdr:sp macro="" textlink="">
      <xdr:nvSpPr>
        <xdr:cNvPr id="1113" name="Line 89"/>
        <xdr:cNvSpPr>
          <a:spLocks noChangeShapeType="1"/>
        </xdr:cNvSpPr>
      </xdr:nvSpPr>
      <xdr:spPr bwMode="auto">
        <a:xfrm flipV="1">
          <a:off x="6286500" y="1771650"/>
          <a:ext cx="0" cy="1238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219075</xdr:colOff>
      <xdr:row>7</xdr:row>
      <xdr:rowOff>0</xdr:rowOff>
    </xdr:from>
    <xdr:to>
      <xdr:col>10</xdr:col>
      <xdr:colOff>219075</xdr:colOff>
      <xdr:row>7</xdr:row>
      <xdr:rowOff>133350</xdr:rowOff>
    </xdr:to>
    <xdr:sp macro="" textlink="">
      <xdr:nvSpPr>
        <xdr:cNvPr id="1114" name="Line 90"/>
        <xdr:cNvSpPr>
          <a:spLocks noChangeShapeType="1"/>
        </xdr:cNvSpPr>
      </xdr:nvSpPr>
      <xdr:spPr bwMode="auto">
        <a:xfrm>
          <a:off x="6286500" y="1381125"/>
          <a:ext cx="0" cy="1333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4" Type="http://schemas.openxmlformats.org/officeDocument/2006/relationships/image" Target="../media/image1.emf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6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7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8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.bin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6" Type="http://schemas.openxmlformats.org/officeDocument/2006/relationships/image" Target="../media/image1.emf"/><Relationship Id="rId5" Type="http://schemas.openxmlformats.org/officeDocument/2006/relationships/oleObject" Target="../embeddings/oleObject3.bin"/><Relationship Id="rId4" Type="http://schemas.openxmlformats.org/officeDocument/2006/relationships/image" Target="../media/image2.emf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1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2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4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2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6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7.bin"/><Relationship Id="rId3" Type="http://schemas.openxmlformats.org/officeDocument/2006/relationships/oleObject" Target="../embeddings/oleObject4.bin"/><Relationship Id="rId7" Type="http://schemas.openxmlformats.org/officeDocument/2006/relationships/oleObject" Target="../embeddings/oleObject6.bin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Relationship Id="rId6" Type="http://schemas.openxmlformats.org/officeDocument/2006/relationships/image" Target="../media/image1.emf"/><Relationship Id="rId5" Type="http://schemas.openxmlformats.org/officeDocument/2006/relationships/oleObject" Target="../embeddings/oleObject5.bin"/><Relationship Id="rId4" Type="http://schemas.openxmlformats.org/officeDocument/2006/relationships/image" Target="../media/image2.emf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9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3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4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3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8.bin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Relationship Id="rId6" Type="http://schemas.openxmlformats.org/officeDocument/2006/relationships/image" Target="../media/image1.emf"/><Relationship Id="rId5" Type="http://schemas.openxmlformats.org/officeDocument/2006/relationships/oleObject" Target="../embeddings/oleObject9.bin"/><Relationship Id="rId4" Type="http://schemas.openxmlformats.org/officeDocument/2006/relationships/image" Target="../media/image2.emf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0.bin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Relationship Id="rId6" Type="http://schemas.openxmlformats.org/officeDocument/2006/relationships/image" Target="../media/image1.emf"/><Relationship Id="rId5" Type="http://schemas.openxmlformats.org/officeDocument/2006/relationships/oleObject" Target="../embeddings/oleObject11.bin"/><Relationship Id="rId4" Type="http://schemas.openxmlformats.org/officeDocument/2006/relationships/image" Target="../media/image2.emf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2.bin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6.xml"/><Relationship Id="rId6" Type="http://schemas.openxmlformats.org/officeDocument/2006/relationships/image" Target="../media/image1.emf"/><Relationship Id="rId5" Type="http://schemas.openxmlformats.org/officeDocument/2006/relationships/oleObject" Target="../embeddings/oleObject13.bin"/><Relationship Id="rId4" Type="http://schemas.openxmlformats.org/officeDocument/2006/relationships/image" Target="../media/image2.emf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4.bin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7.xml"/><Relationship Id="rId6" Type="http://schemas.openxmlformats.org/officeDocument/2006/relationships/image" Target="../media/image1.emf"/><Relationship Id="rId5" Type="http://schemas.openxmlformats.org/officeDocument/2006/relationships/oleObject" Target="../embeddings/oleObject15.bin"/><Relationship Id="rId4" Type="http://schemas.openxmlformats.org/officeDocument/2006/relationships/image" Target="../media/image2.emf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6.bin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8.xml"/><Relationship Id="rId4" Type="http://schemas.openxmlformats.org/officeDocument/2006/relationships/image" Target="../media/image3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E29"/>
  <sheetViews>
    <sheetView tabSelected="1" zoomScale="66" workbookViewId="0">
      <selection sqref="A1:AE1"/>
    </sheetView>
  </sheetViews>
  <sheetFormatPr defaultRowHeight="12.75" x14ac:dyDescent="0.2"/>
  <cols>
    <col min="1" max="1" width="6.7109375" customWidth="1"/>
    <col min="2" max="2" width="7.42578125" customWidth="1"/>
    <col min="3" max="3" width="8.140625" customWidth="1"/>
    <col min="4" max="4" width="7.42578125" customWidth="1"/>
    <col min="5" max="7" width="7" customWidth="1"/>
    <col min="8" max="8" width="6.42578125" customWidth="1"/>
    <col min="9" max="9" width="9.28515625" bestFit="1" customWidth="1"/>
    <col min="10" max="10" width="8.85546875" customWidth="1"/>
    <col min="11" max="11" width="9.28515625" bestFit="1" customWidth="1"/>
    <col min="12" max="12" width="7" customWidth="1"/>
    <col min="13" max="13" width="7.5703125" customWidth="1"/>
    <col min="14" max="14" width="3.85546875" customWidth="1"/>
    <col min="15" max="15" width="7" customWidth="1"/>
    <col min="16" max="16" width="6.42578125" customWidth="1"/>
    <col min="17" max="17" width="7" customWidth="1"/>
    <col min="18" max="18" width="3.42578125" customWidth="1"/>
    <col min="19" max="19" width="8.140625" customWidth="1"/>
    <col min="20" max="20" width="6.42578125" customWidth="1"/>
    <col min="21" max="22" width="7" customWidth="1"/>
    <col min="23" max="23" width="8.85546875" customWidth="1"/>
    <col min="24" max="24" width="7.140625" customWidth="1"/>
    <col min="25" max="25" width="8.28515625" customWidth="1"/>
    <col min="26" max="26" width="7" customWidth="1"/>
    <col min="27" max="27" width="3.85546875" customWidth="1"/>
    <col min="28" max="28" width="6.7109375" customWidth="1"/>
    <col min="29" max="29" width="3.85546875" customWidth="1"/>
    <col min="30" max="30" width="5.28515625" customWidth="1"/>
    <col min="31" max="31" width="5.7109375" customWidth="1"/>
    <col min="32" max="32" width="7.7109375" customWidth="1"/>
  </cols>
  <sheetData>
    <row r="1" spans="1:31" ht="26.1" customHeight="1" thickTop="1" thickBot="1" x14ac:dyDescent="0.25">
      <c r="A1" s="1310" t="s">
        <v>752</v>
      </c>
      <c r="B1" s="1311"/>
      <c r="C1" s="1311"/>
      <c r="D1" s="1311"/>
      <c r="E1" s="1311"/>
      <c r="F1" s="1311"/>
      <c r="G1" s="1311"/>
      <c r="H1" s="1311"/>
      <c r="I1" s="1311"/>
      <c r="J1" s="1311"/>
      <c r="K1" s="1311"/>
      <c r="L1" s="1311"/>
      <c r="M1" s="1311"/>
      <c r="N1" s="1311"/>
      <c r="O1" s="1311"/>
      <c r="P1" s="1311"/>
      <c r="Q1" s="1311"/>
      <c r="R1" s="1311"/>
      <c r="S1" s="1311"/>
      <c r="T1" s="1311"/>
      <c r="U1" s="1311"/>
      <c r="V1" s="1311"/>
      <c r="W1" s="1311"/>
      <c r="X1" s="1311"/>
      <c r="Y1" s="1311"/>
      <c r="Z1" s="1311"/>
      <c r="AA1" s="1311"/>
      <c r="AB1" s="1311"/>
      <c r="AC1" s="1311"/>
      <c r="AD1" s="1311"/>
      <c r="AE1" s="1312"/>
    </row>
    <row r="2" spans="1:31" ht="220.5" customHeight="1" thickTop="1" thickBot="1" x14ac:dyDescent="0.25">
      <c r="A2" s="1313"/>
      <c r="B2" s="1314"/>
      <c r="C2" s="1314"/>
      <c r="D2" s="1314"/>
      <c r="E2" s="1314"/>
      <c r="F2" s="1314"/>
      <c r="G2" s="1314"/>
      <c r="H2" s="1314"/>
      <c r="I2" s="1314"/>
      <c r="J2" s="1314"/>
      <c r="K2" s="1314"/>
      <c r="L2" s="1314"/>
      <c r="M2" s="1314"/>
      <c r="N2" s="1314"/>
      <c r="O2" s="1314"/>
      <c r="P2" s="1314"/>
      <c r="Q2" s="1314"/>
      <c r="R2" s="1314"/>
      <c r="S2" s="1314"/>
      <c r="T2" s="1314"/>
      <c r="U2" s="1314"/>
      <c r="V2" s="1314"/>
      <c r="W2" s="1314"/>
      <c r="X2" s="1314"/>
      <c r="Y2" s="1314"/>
      <c r="Z2" s="1314"/>
      <c r="AA2" s="1314"/>
      <c r="AB2" s="1314"/>
      <c r="AC2" s="467"/>
      <c r="AD2" s="467"/>
      <c r="AE2" s="1227"/>
    </row>
    <row r="3" spans="1:31" ht="24" customHeight="1" thickBot="1" x14ac:dyDescent="0.25">
      <c r="A3" s="1315" t="s">
        <v>753</v>
      </c>
      <c r="B3" s="1315" t="s">
        <v>754</v>
      </c>
      <c r="C3" s="1315" t="s">
        <v>755</v>
      </c>
      <c r="D3" s="1315" t="s">
        <v>756</v>
      </c>
      <c r="E3" s="1315" t="s">
        <v>757</v>
      </c>
      <c r="F3" s="1315" t="s">
        <v>758</v>
      </c>
      <c r="G3" s="1315" t="s">
        <v>759</v>
      </c>
      <c r="H3" s="1315" t="s">
        <v>760</v>
      </c>
      <c r="I3" s="1315" t="s">
        <v>761</v>
      </c>
      <c r="J3" s="1315" t="s">
        <v>762</v>
      </c>
      <c r="K3" s="1315" t="s">
        <v>763</v>
      </c>
      <c r="L3" s="1333" t="s">
        <v>764</v>
      </c>
      <c r="M3" s="1333"/>
      <c r="N3" s="1333"/>
      <c r="O3" s="1315" t="s">
        <v>765</v>
      </c>
      <c r="P3" s="1333" t="s">
        <v>766</v>
      </c>
      <c r="Q3" s="1333"/>
      <c r="R3" s="1333"/>
      <c r="S3" s="1336" t="s">
        <v>767</v>
      </c>
      <c r="T3" s="1336" t="s">
        <v>768</v>
      </c>
      <c r="U3" s="1335" t="s">
        <v>769</v>
      </c>
      <c r="V3" s="1335"/>
      <c r="W3" s="1335"/>
      <c r="X3" s="1335"/>
      <c r="Y3" s="1335"/>
      <c r="Z3" s="1335"/>
      <c r="AA3" s="1335"/>
      <c r="AB3" s="1315" t="s">
        <v>753</v>
      </c>
      <c r="AC3" s="1317" t="s">
        <v>770</v>
      </c>
      <c r="AD3" s="1320" t="s">
        <v>771</v>
      </c>
      <c r="AE3" s="1321"/>
    </row>
    <row r="4" spans="1:31" ht="45" customHeight="1" thickBot="1" x14ac:dyDescent="0.25">
      <c r="A4" s="1316"/>
      <c r="B4" s="1316"/>
      <c r="C4" s="1316"/>
      <c r="D4" s="1316"/>
      <c r="E4" s="1316"/>
      <c r="F4" s="1316"/>
      <c r="G4" s="1316"/>
      <c r="H4" s="1316"/>
      <c r="I4" s="1316"/>
      <c r="J4" s="1316"/>
      <c r="K4" s="1316"/>
      <c r="L4" s="1334"/>
      <c r="M4" s="1334"/>
      <c r="N4" s="1334"/>
      <c r="O4" s="1316"/>
      <c r="P4" s="1334"/>
      <c r="Q4" s="1334"/>
      <c r="R4" s="1334"/>
      <c r="S4" s="1337"/>
      <c r="T4" s="1337"/>
      <c r="U4" s="1228" t="s">
        <v>772</v>
      </c>
      <c r="V4" s="1228" t="s">
        <v>773</v>
      </c>
      <c r="W4" s="1228" t="s">
        <v>774</v>
      </c>
      <c r="X4" s="1228" t="s">
        <v>775</v>
      </c>
      <c r="Y4" s="1228" t="s">
        <v>776</v>
      </c>
      <c r="Z4" s="1228" t="s">
        <v>777</v>
      </c>
      <c r="AA4" s="1228" t="s">
        <v>778</v>
      </c>
      <c r="AB4" s="1316"/>
      <c r="AC4" s="1318"/>
      <c r="AD4" s="1322" t="s">
        <v>779</v>
      </c>
      <c r="AE4" s="1322" t="s">
        <v>780</v>
      </c>
    </row>
    <row r="5" spans="1:31" ht="13.5" thickBot="1" x14ac:dyDescent="0.25">
      <c r="A5" s="1229"/>
      <c r="B5" s="1229"/>
      <c r="C5" s="1230" t="s">
        <v>1872</v>
      </c>
      <c r="D5" s="1230" t="s">
        <v>1873</v>
      </c>
      <c r="E5" s="1230" t="s">
        <v>1779</v>
      </c>
      <c r="F5" s="1230" t="s">
        <v>1769</v>
      </c>
      <c r="G5" s="1230" t="s">
        <v>1876</v>
      </c>
      <c r="H5" s="1230" t="s">
        <v>781</v>
      </c>
      <c r="I5" s="1230" t="s">
        <v>1877</v>
      </c>
      <c r="J5" s="1230" t="s">
        <v>1895</v>
      </c>
      <c r="K5" s="1230" t="s">
        <v>782</v>
      </c>
      <c r="L5" s="1230" t="s">
        <v>1874</v>
      </c>
      <c r="M5" s="1230" t="s">
        <v>783</v>
      </c>
      <c r="N5" s="1230" t="s">
        <v>1894</v>
      </c>
      <c r="O5" s="1230" t="s">
        <v>784</v>
      </c>
      <c r="P5" s="1230" t="s">
        <v>1921</v>
      </c>
      <c r="Q5" s="1230" t="s">
        <v>785</v>
      </c>
      <c r="R5" s="1230" t="s">
        <v>786</v>
      </c>
      <c r="S5" s="1230" t="s">
        <v>658</v>
      </c>
      <c r="T5" s="1230" t="s">
        <v>787</v>
      </c>
      <c r="U5" s="1230" t="s">
        <v>788</v>
      </c>
      <c r="V5" s="1230" t="s">
        <v>1768</v>
      </c>
      <c r="W5" s="1230" t="s">
        <v>1875</v>
      </c>
      <c r="X5" s="1230" t="s">
        <v>789</v>
      </c>
      <c r="Y5" s="1230" t="s">
        <v>790</v>
      </c>
      <c r="Z5" s="1230" t="s">
        <v>791</v>
      </c>
      <c r="AA5" s="1230" t="s">
        <v>792</v>
      </c>
      <c r="AB5" s="1229"/>
      <c r="AC5" s="1319"/>
      <c r="AD5" s="1323"/>
      <c r="AE5" s="1323"/>
    </row>
    <row r="6" spans="1:31" ht="15" customHeight="1" thickBot="1" x14ac:dyDescent="0.25">
      <c r="A6" s="1230" t="s">
        <v>119</v>
      </c>
      <c r="B6" s="1231">
        <v>1.3125</v>
      </c>
      <c r="C6" s="1232">
        <v>2.1875</v>
      </c>
      <c r="D6" s="1233">
        <v>4.25</v>
      </c>
      <c r="E6" s="1233" t="s">
        <v>793</v>
      </c>
      <c r="F6" s="1233">
        <v>1.5</v>
      </c>
      <c r="G6" s="1233">
        <v>2</v>
      </c>
      <c r="H6" s="1233">
        <v>1.5</v>
      </c>
      <c r="I6" s="1232">
        <v>3.6875</v>
      </c>
      <c r="J6" s="1232">
        <v>3.6875</v>
      </c>
      <c r="K6" s="1232">
        <v>3.0625</v>
      </c>
      <c r="L6" s="1233"/>
      <c r="M6" s="1233"/>
      <c r="N6" s="1234"/>
      <c r="O6" s="1233"/>
      <c r="P6" s="1233"/>
      <c r="Q6" s="1233"/>
      <c r="R6" s="1234"/>
      <c r="S6" s="1232"/>
      <c r="T6" s="1233"/>
      <c r="U6" s="1233">
        <v>5</v>
      </c>
      <c r="V6" s="1233"/>
      <c r="W6" s="1232"/>
      <c r="X6" s="1232"/>
      <c r="Y6" s="1233"/>
      <c r="Z6" s="1234"/>
      <c r="AA6" s="1234">
        <v>9</v>
      </c>
      <c r="AB6" s="1230" t="s">
        <v>119</v>
      </c>
      <c r="AC6" s="1235">
        <v>4</v>
      </c>
      <c r="AD6" s="1236">
        <v>0.5</v>
      </c>
      <c r="AE6" s="1236">
        <v>2.75</v>
      </c>
    </row>
    <row r="7" spans="1:31" ht="15" customHeight="1" thickBot="1" x14ac:dyDescent="0.25">
      <c r="A7" s="1230" t="s">
        <v>794</v>
      </c>
      <c r="B7" s="1237">
        <v>1.875</v>
      </c>
      <c r="C7" s="157">
        <v>2.4375</v>
      </c>
      <c r="D7" s="1238">
        <v>5</v>
      </c>
      <c r="E7" s="1238">
        <v>1.125</v>
      </c>
      <c r="F7" s="1238">
        <v>2.25</v>
      </c>
      <c r="G7" s="1238">
        <v>2.5</v>
      </c>
      <c r="H7" s="1238">
        <v>1.5</v>
      </c>
      <c r="I7" s="157">
        <v>4.6875</v>
      </c>
      <c r="J7" s="157">
        <v>4.6875</v>
      </c>
      <c r="K7" s="157">
        <v>3.5625</v>
      </c>
      <c r="L7" s="1238"/>
      <c r="M7" s="1238"/>
      <c r="N7" s="1239"/>
      <c r="O7" s="1238"/>
      <c r="P7" s="1238"/>
      <c r="Q7" s="1238"/>
      <c r="R7" s="1239"/>
      <c r="S7" s="157"/>
      <c r="T7" s="1238"/>
      <c r="U7" s="1238">
        <v>6.5</v>
      </c>
      <c r="V7" s="1238"/>
      <c r="W7" s="157"/>
      <c r="X7" s="157"/>
      <c r="Y7" s="1238"/>
      <c r="Z7" s="1239"/>
      <c r="AA7" s="1239">
        <v>15</v>
      </c>
      <c r="AB7" s="1230" t="s">
        <v>794</v>
      </c>
      <c r="AC7" s="1240">
        <v>4</v>
      </c>
      <c r="AD7" s="1241">
        <v>0.5</v>
      </c>
      <c r="AE7" s="1241">
        <v>3</v>
      </c>
    </row>
    <row r="8" spans="1:31" ht="15" customHeight="1" thickBot="1" x14ac:dyDescent="0.25">
      <c r="A8" s="1230" t="s">
        <v>189</v>
      </c>
      <c r="B8" s="1242">
        <v>2.375</v>
      </c>
      <c r="C8" s="1243">
        <v>2.5</v>
      </c>
      <c r="D8" s="1243">
        <v>6</v>
      </c>
      <c r="E8" s="1243">
        <v>1.375</v>
      </c>
      <c r="F8" s="1243">
        <v>2.5</v>
      </c>
      <c r="G8" s="1243">
        <v>3</v>
      </c>
      <c r="H8" s="1243">
        <v>1.5</v>
      </c>
      <c r="I8" s="1243">
        <v>5.5</v>
      </c>
      <c r="J8" s="1243">
        <v>5</v>
      </c>
      <c r="K8" s="1243">
        <v>3.875</v>
      </c>
      <c r="L8" s="1243">
        <v>7</v>
      </c>
      <c r="M8" s="1243">
        <v>15.75</v>
      </c>
      <c r="N8" s="1244">
        <v>8</v>
      </c>
      <c r="O8" s="1243">
        <v>8</v>
      </c>
      <c r="P8" s="1243">
        <v>8</v>
      </c>
      <c r="Q8" s="1243">
        <v>13.75</v>
      </c>
      <c r="R8" s="1244">
        <v>8</v>
      </c>
      <c r="S8" s="2"/>
      <c r="T8" s="1243">
        <v>2.375</v>
      </c>
      <c r="U8" s="1243">
        <v>7</v>
      </c>
      <c r="V8" s="1243">
        <v>7</v>
      </c>
      <c r="W8" s="1243">
        <v>4.75</v>
      </c>
      <c r="X8" s="2"/>
      <c r="Y8" s="1243"/>
      <c r="Z8" s="1244"/>
      <c r="AA8" s="1244">
        <v>23</v>
      </c>
      <c r="AB8" s="1230" t="s">
        <v>189</v>
      </c>
      <c r="AC8" s="1245">
        <v>4</v>
      </c>
      <c r="AD8" s="1246">
        <v>0.625</v>
      </c>
      <c r="AE8" s="1246">
        <v>3.25</v>
      </c>
    </row>
    <row r="9" spans="1:31" ht="15" customHeight="1" thickBot="1" x14ac:dyDescent="0.25">
      <c r="A9" s="1230" t="s">
        <v>795</v>
      </c>
      <c r="B9" s="1237">
        <v>2.875</v>
      </c>
      <c r="C9" s="1238">
        <v>2.75</v>
      </c>
      <c r="D9" s="1238">
        <v>7</v>
      </c>
      <c r="E9" s="1238">
        <v>1.75</v>
      </c>
      <c r="F9" s="1238">
        <v>3</v>
      </c>
      <c r="G9" s="1238">
        <v>3.5</v>
      </c>
      <c r="H9" s="1238">
        <v>1.5</v>
      </c>
      <c r="I9" s="1238">
        <v>6.5</v>
      </c>
      <c r="J9" s="1238">
        <v>5.75</v>
      </c>
      <c r="K9" s="1238">
        <v>4.5</v>
      </c>
      <c r="L9" s="1238">
        <v>7.5</v>
      </c>
      <c r="M9" s="1238">
        <v>16.5</v>
      </c>
      <c r="N9" s="1239">
        <v>8</v>
      </c>
      <c r="O9" s="1238">
        <v>8.5</v>
      </c>
      <c r="P9" s="1238">
        <v>8.5</v>
      </c>
      <c r="Q9" s="1238">
        <v>14.5</v>
      </c>
      <c r="R9" s="1239">
        <v>8</v>
      </c>
      <c r="S9" s="157"/>
      <c r="T9" s="1238">
        <v>2.625</v>
      </c>
      <c r="U9" s="1238"/>
      <c r="V9" s="1238"/>
      <c r="W9" s="157"/>
      <c r="X9" s="157"/>
      <c r="Y9" s="1238"/>
      <c r="Z9" s="1239"/>
      <c r="AA9" s="1239"/>
      <c r="AB9" s="1230" t="s">
        <v>795</v>
      </c>
      <c r="AC9" s="1240">
        <v>4</v>
      </c>
      <c r="AD9" s="1241">
        <v>0.625</v>
      </c>
      <c r="AE9" s="1241">
        <v>3.5</v>
      </c>
    </row>
    <row r="10" spans="1:31" ht="15" customHeight="1" thickBot="1" x14ac:dyDescent="0.25">
      <c r="A10" s="1230" t="s">
        <v>241</v>
      </c>
      <c r="B10" s="1242">
        <v>3.5</v>
      </c>
      <c r="C10" s="1243">
        <v>2.75</v>
      </c>
      <c r="D10" s="1243">
        <v>7.5</v>
      </c>
      <c r="E10" s="1243">
        <v>2</v>
      </c>
      <c r="F10" s="1243">
        <v>3.375</v>
      </c>
      <c r="G10" s="1243">
        <v>3.5</v>
      </c>
      <c r="H10" s="1243">
        <v>2</v>
      </c>
      <c r="I10" s="1243">
        <v>7.25</v>
      </c>
      <c r="J10" s="1243">
        <v>6.125</v>
      </c>
      <c r="K10" s="1243">
        <v>4.75</v>
      </c>
      <c r="L10" s="1243">
        <v>8</v>
      </c>
      <c r="M10" s="1243">
        <v>20.75</v>
      </c>
      <c r="N10" s="1244">
        <v>9</v>
      </c>
      <c r="O10" s="1243">
        <v>9.5</v>
      </c>
      <c r="P10" s="1243">
        <v>9.5</v>
      </c>
      <c r="Q10" s="1243">
        <v>16.5</v>
      </c>
      <c r="R10" s="1244">
        <v>9</v>
      </c>
      <c r="S10" s="1243">
        <v>1.875</v>
      </c>
      <c r="T10" s="1243">
        <v>2.875</v>
      </c>
      <c r="U10" s="1243">
        <v>8</v>
      </c>
      <c r="V10" s="1243">
        <v>8</v>
      </c>
      <c r="W10" s="2">
        <v>7.0625</v>
      </c>
      <c r="X10" s="1243">
        <v>3.125</v>
      </c>
      <c r="Y10" s="2">
        <v>10.0625</v>
      </c>
      <c r="Z10" s="1243">
        <v>17.125</v>
      </c>
      <c r="AA10" s="1244">
        <v>33</v>
      </c>
      <c r="AB10" s="1230" t="s">
        <v>241</v>
      </c>
      <c r="AC10" s="1245">
        <v>4</v>
      </c>
      <c r="AD10" s="1246">
        <v>0.625</v>
      </c>
      <c r="AE10" s="1246">
        <v>3.75</v>
      </c>
    </row>
    <row r="11" spans="1:31" ht="15" customHeight="1" thickBot="1" x14ac:dyDescent="0.25">
      <c r="A11" s="1230" t="s">
        <v>253</v>
      </c>
      <c r="B11" s="1237">
        <v>4.5</v>
      </c>
      <c r="C11" s="1238">
        <v>3</v>
      </c>
      <c r="D11" s="1238">
        <v>9</v>
      </c>
      <c r="E11" s="1238">
        <v>2.5</v>
      </c>
      <c r="F11" s="1238">
        <v>4.125</v>
      </c>
      <c r="G11" s="1238">
        <v>4</v>
      </c>
      <c r="H11" s="1238">
        <v>2.5</v>
      </c>
      <c r="I11" s="1238">
        <v>9</v>
      </c>
      <c r="J11" s="1238">
        <v>7.125</v>
      </c>
      <c r="K11" s="1238">
        <v>5.5</v>
      </c>
      <c r="L11" s="1238">
        <v>9</v>
      </c>
      <c r="M11" s="1238">
        <v>25.75</v>
      </c>
      <c r="N11" s="1239">
        <v>10</v>
      </c>
      <c r="O11" s="1238">
        <v>11.5</v>
      </c>
      <c r="P11" s="1238">
        <v>11.5</v>
      </c>
      <c r="Q11" s="1238">
        <v>19.75</v>
      </c>
      <c r="R11" s="1239">
        <v>10</v>
      </c>
      <c r="S11" s="1238">
        <v>2.125</v>
      </c>
      <c r="T11" s="1238">
        <v>2.875</v>
      </c>
      <c r="U11" s="1238">
        <v>9</v>
      </c>
      <c r="V11" s="1238">
        <v>9</v>
      </c>
      <c r="W11" s="1238">
        <v>8</v>
      </c>
      <c r="X11" s="1238">
        <v>3.125</v>
      </c>
      <c r="Y11" s="157">
        <v>10.0625</v>
      </c>
      <c r="Z11" s="1238">
        <v>17.125</v>
      </c>
      <c r="AA11" s="1239">
        <v>44</v>
      </c>
      <c r="AB11" s="1230" t="s">
        <v>253</v>
      </c>
      <c r="AC11" s="1240">
        <v>8</v>
      </c>
      <c r="AD11" s="1241">
        <v>0.625</v>
      </c>
      <c r="AE11" s="1241">
        <v>3.75</v>
      </c>
    </row>
    <row r="12" spans="1:31" ht="15" customHeight="1" thickBot="1" x14ac:dyDescent="0.25">
      <c r="A12" s="1230" t="s">
        <v>254</v>
      </c>
      <c r="B12" s="1242">
        <v>6.625</v>
      </c>
      <c r="C12" s="1243">
        <v>3.5</v>
      </c>
      <c r="D12" s="1243">
        <v>11</v>
      </c>
      <c r="E12" s="1243">
        <v>3.75</v>
      </c>
      <c r="F12" s="1243">
        <v>5.625</v>
      </c>
      <c r="G12" s="1243">
        <v>5.5</v>
      </c>
      <c r="H12" s="1243">
        <v>3.5</v>
      </c>
      <c r="I12" s="1243">
        <v>12.5</v>
      </c>
      <c r="J12" s="1243">
        <v>9.125</v>
      </c>
      <c r="K12" s="1243">
        <v>7.25</v>
      </c>
      <c r="L12" s="1243">
        <v>10.5</v>
      </c>
      <c r="M12" s="1243">
        <v>35.25</v>
      </c>
      <c r="N12" s="1244">
        <v>14</v>
      </c>
      <c r="O12" s="1243">
        <v>14</v>
      </c>
      <c r="P12" s="1243">
        <v>16</v>
      </c>
      <c r="Q12" s="1243">
        <v>24.5</v>
      </c>
      <c r="R12" s="1244">
        <v>12</v>
      </c>
      <c r="S12" s="1243">
        <v>2.25</v>
      </c>
      <c r="T12" s="1243">
        <v>3.875</v>
      </c>
      <c r="U12" s="1243">
        <v>15.5</v>
      </c>
      <c r="V12" s="1243">
        <v>10.5</v>
      </c>
      <c r="W12" s="2">
        <v>10.8125</v>
      </c>
      <c r="X12" s="1243">
        <v>5</v>
      </c>
      <c r="Y12" s="1243">
        <v>11.5</v>
      </c>
      <c r="Z12" s="1243">
        <v>24</v>
      </c>
      <c r="AA12" s="1243"/>
      <c r="AB12" s="1230" t="s">
        <v>254</v>
      </c>
      <c r="AC12" s="1245">
        <v>8</v>
      </c>
      <c r="AD12" s="1246">
        <v>0.75</v>
      </c>
      <c r="AE12" s="1246">
        <v>4</v>
      </c>
    </row>
    <row r="13" spans="1:31" ht="15" customHeight="1" thickBot="1" x14ac:dyDescent="0.25">
      <c r="A13" s="1230" t="s">
        <v>278</v>
      </c>
      <c r="B13" s="1237">
        <v>8.625</v>
      </c>
      <c r="C13" s="1238">
        <v>4</v>
      </c>
      <c r="D13" s="1238">
        <v>13.5</v>
      </c>
      <c r="E13" s="1238">
        <v>5</v>
      </c>
      <c r="F13" s="1238">
        <v>7</v>
      </c>
      <c r="G13" s="1238">
        <v>6</v>
      </c>
      <c r="H13" s="1238">
        <v>4</v>
      </c>
      <c r="I13" s="1238">
        <v>16</v>
      </c>
      <c r="J13" s="1238">
        <v>11</v>
      </c>
      <c r="K13" s="1238">
        <v>9</v>
      </c>
      <c r="L13" s="1238">
        <v>11.5</v>
      </c>
      <c r="M13" s="1238">
        <v>44</v>
      </c>
      <c r="N13" s="1239">
        <v>16</v>
      </c>
      <c r="O13" s="1238">
        <v>19.5</v>
      </c>
      <c r="P13" s="1238">
        <v>19.5</v>
      </c>
      <c r="Q13" s="1238">
        <v>26</v>
      </c>
      <c r="R13" s="1239">
        <v>16</v>
      </c>
      <c r="S13" s="1238">
        <v>2.5</v>
      </c>
      <c r="T13" s="1238">
        <v>5</v>
      </c>
      <c r="U13" s="1238">
        <v>18</v>
      </c>
      <c r="V13" s="1238">
        <v>18</v>
      </c>
      <c r="W13" s="1238">
        <v>12.625</v>
      </c>
      <c r="X13" s="1238">
        <v>5</v>
      </c>
      <c r="Y13" s="1238">
        <v>11.5</v>
      </c>
      <c r="Z13" s="1238">
        <v>24</v>
      </c>
      <c r="AA13" s="1238"/>
      <c r="AB13" s="1230" t="s">
        <v>278</v>
      </c>
      <c r="AC13" s="1240">
        <v>8</v>
      </c>
      <c r="AD13" s="1241">
        <v>0.75</v>
      </c>
      <c r="AE13" s="1241">
        <v>4.25</v>
      </c>
    </row>
    <row r="14" spans="1:31" ht="15" customHeight="1" thickBot="1" x14ac:dyDescent="0.25">
      <c r="A14" s="1230" t="s">
        <v>279</v>
      </c>
      <c r="B14" s="1242">
        <v>10.75</v>
      </c>
      <c r="C14" s="1243">
        <v>4</v>
      </c>
      <c r="D14" s="1243">
        <v>16</v>
      </c>
      <c r="E14" s="1243">
        <v>6.25</v>
      </c>
      <c r="F14" s="1243">
        <v>8.5</v>
      </c>
      <c r="G14" s="1243">
        <v>7</v>
      </c>
      <c r="H14" s="1243">
        <v>5</v>
      </c>
      <c r="I14" s="1243">
        <v>19</v>
      </c>
      <c r="J14" s="1243">
        <v>12.5</v>
      </c>
      <c r="K14" s="1243">
        <v>10.25</v>
      </c>
      <c r="L14" s="1243">
        <v>13</v>
      </c>
      <c r="M14" s="1243">
        <v>52.5</v>
      </c>
      <c r="N14" s="1244">
        <v>18</v>
      </c>
      <c r="O14" s="1243">
        <v>24.5</v>
      </c>
      <c r="P14" s="1243"/>
      <c r="Q14" s="1243"/>
      <c r="R14" s="1244"/>
      <c r="S14" s="2">
        <v>2.8125</v>
      </c>
      <c r="T14" s="1243">
        <v>5.75</v>
      </c>
      <c r="U14" s="1243">
        <v>21</v>
      </c>
      <c r="V14" s="1243">
        <v>21</v>
      </c>
      <c r="W14" s="1243">
        <v>15.625</v>
      </c>
      <c r="X14" s="2">
        <v>3.6875</v>
      </c>
      <c r="Y14" s="2">
        <v>18.9375</v>
      </c>
      <c r="Z14" s="1243">
        <v>30.25</v>
      </c>
      <c r="AA14" s="1243"/>
      <c r="AB14" s="1230" t="s">
        <v>279</v>
      </c>
      <c r="AC14" s="1245">
        <v>12</v>
      </c>
      <c r="AD14" s="1246">
        <v>0.875</v>
      </c>
      <c r="AE14" s="1246">
        <v>4.75</v>
      </c>
    </row>
    <row r="15" spans="1:31" ht="15" customHeight="1" thickBot="1" x14ac:dyDescent="0.25">
      <c r="A15" s="1230" t="s">
        <v>280</v>
      </c>
      <c r="B15" s="1237">
        <v>12.75</v>
      </c>
      <c r="C15" s="1238">
        <v>4.5</v>
      </c>
      <c r="D15" s="1238">
        <v>19</v>
      </c>
      <c r="E15" s="1238">
        <v>7.5</v>
      </c>
      <c r="F15" s="1238">
        <v>10</v>
      </c>
      <c r="G15" s="1238">
        <v>8</v>
      </c>
      <c r="H15" s="1238">
        <v>6</v>
      </c>
      <c r="I15" s="1238">
        <v>22.5</v>
      </c>
      <c r="J15" s="1238">
        <v>14.5</v>
      </c>
      <c r="K15" s="1238">
        <v>12</v>
      </c>
      <c r="L15" s="1238">
        <v>14</v>
      </c>
      <c r="M15" s="1238">
        <v>60.5</v>
      </c>
      <c r="N15" s="1239">
        <v>18</v>
      </c>
      <c r="O15" s="1238">
        <v>27.5</v>
      </c>
      <c r="P15" s="1238"/>
      <c r="Q15" s="1238"/>
      <c r="R15" s="1239"/>
      <c r="S15" s="157">
        <v>3.1875</v>
      </c>
      <c r="T15" s="1238">
        <v>7.125</v>
      </c>
      <c r="U15" s="1238">
        <v>24</v>
      </c>
      <c r="V15" s="1238">
        <v>24</v>
      </c>
      <c r="W15" s="1238">
        <v>17.375</v>
      </c>
      <c r="X15" s="157">
        <v>3.6875</v>
      </c>
      <c r="Y15" s="157">
        <v>18.9375</v>
      </c>
      <c r="Z15" s="1238">
        <v>30.25</v>
      </c>
      <c r="AA15" s="1238"/>
      <c r="AB15" s="1230" t="s">
        <v>280</v>
      </c>
      <c r="AC15" s="1240">
        <v>12</v>
      </c>
      <c r="AD15" s="1241">
        <v>0.875</v>
      </c>
      <c r="AE15" s="1241">
        <v>4.75</v>
      </c>
    </row>
    <row r="16" spans="1:31" ht="15" customHeight="1" thickBot="1" x14ac:dyDescent="0.25">
      <c r="A16" s="1230" t="s">
        <v>281</v>
      </c>
      <c r="B16" s="1242">
        <v>14</v>
      </c>
      <c r="C16" s="1243">
        <v>5</v>
      </c>
      <c r="D16" s="1243">
        <v>21</v>
      </c>
      <c r="E16" s="1243">
        <v>8.75</v>
      </c>
      <c r="F16" s="1243">
        <v>11</v>
      </c>
      <c r="G16" s="1243">
        <v>13</v>
      </c>
      <c r="H16" s="1243">
        <v>6.5</v>
      </c>
      <c r="I16" s="1243">
        <v>26</v>
      </c>
      <c r="J16" s="1243">
        <v>16</v>
      </c>
      <c r="K16" s="1243">
        <v>13.75</v>
      </c>
      <c r="L16" s="1243">
        <v>15</v>
      </c>
      <c r="M16" s="1243">
        <v>70.25</v>
      </c>
      <c r="N16" s="1244">
        <v>22</v>
      </c>
      <c r="O16" s="1243">
        <v>35</v>
      </c>
      <c r="P16" s="1243"/>
      <c r="Q16" s="1243"/>
      <c r="R16" s="1244"/>
      <c r="S16" s="1243">
        <v>3.625</v>
      </c>
      <c r="T16" s="1243">
        <v>7.25</v>
      </c>
      <c r="U16" s="1243">
        <v>27</v>
      </c>
      <c r="V16" s="1243">
        <v>27</v>
      </c>
      <c r="W16" s="2">
        <v>18.4375</v>
      </c>
      <c r="X16" s="2">
        <v>3.6875</v>
      </c>
      <c r="Y16" s="2">
        <v>18.9375</v>
      </c>
      <c r="Z16" s="1243">
        <v>30.25</v>
      </c>
      <c r="AA16" s="1243"/>
      <c r="AB16" s="1230" t="s">
        <v>281</v>
      </c>
      <c r="AC16" s="1245">
        <v>12</v>
      </c>
      <c r="AD16" s="1246">
        <v>1</v>
      </c>
      <c r="AE16" s="1246">
        <v>5.25</v>
      </c>
    </row>
    <row r="17" spans="1:31" ht="15" customHeight="1" thickBot="1" x14ac:dyDescent="0.25">
      <c r="A17" s="1230" t="s">
        <v>282</v>
      </c>
      <c r="B17" s="1237">
        <v>16</v>
      </c>
      <c r="C17" s="1238">
        <v>5</v>
      </c>
      <c r="D17" s="1238">
        <v>23.5</v>
      </c>
      <c r="E17" s="1238">
        <v>10</v>
      </c>
      <c r="F17" s="1238">
        <v>12</v>
      </c>
      <c r="G17" s="1238">
        <v>14</v>
      </c>
      <c r="H17" s="1238">
        <v>7</v>
      </c>
      <c r="I17" s="1238">
        <v>29</v>
      </c>
      <c r="J17" s="1238">
        <v>17</v>
      </c>
      <c r="K17" s="1238">
        <v>15</v>
      </c>
      <c r="L17" s="1238">
        <v>16</v>
      </c>
      <c r="M17" s="1238">
        <v>79.75</v>
      </c>
      <c r="N17" s="1239">
        <v>24</v>
      </c>
      <c r="O17" s="1238">
        <v>39</v>
      </c>
      <c r="P17" s="1238"/>
      <c r="Q17" s="1238"/>
      <c r="R17" s="1239"/>
      <c r="S17" s="1238">
        <v>4</v>
      </c>
      <c r="T17" s="1238">
        <v>7.5</v>
      </c>
      <c r="U17" s="1238">
        <v>30</v>
      </c>
      <c r="V17" s="1238">
        <v>30</v>
      </c>
      <c r="W17" s="1238">
        <v>20.125</v>
      </c>
      <c r="X17" s="157">
        <v>3.6875</v>
      </c>
      <c r="Y17" s="157">
        <v>18.9375</v>
      </c>
      <c r="Z17" s="1238">
        <v>39</v>
      </c>
      <c r="AA17" s="1238"/>
      <c r="AB17" s="1230" t="s">
        <v>282</v>
      </c>
      <c r="AC17" s="1240">
        <v>16</v>
      </c>
      <c r="AD17" s="1241">
        <v>1</v>
      </c>
      <c r="AE17" s="1241">
        <v>5.5</v>
      </c>
    </row>
    <row r="18" spans="1:31" ht="15" customHeight="1" thickBot="1" x14ac:dyDescent="0.25">
      <c r="A18" s="1230" t="s">
        <v>283</v>
      </c>
      <c r="B18" s="1242">
        <v>18</v>
      </c>
      <c r="C18" s="1243">
        <v>5.5</v>
      </c>
      <c r="D18" s="1243">
        <v>25</v>
      </c>
      <c r="E18" s="1243">
        <v>11.25</v>
      </c>
      <c r="F18" s="1243">
        <v>13.5</v>
      </c>
      <c r="G18" s="1243">
        <v>15</v>
      </c>
      <c r="H18" s="1243">
        <v>8</v>
      </c>
      <c r="I18" s="1243">
        <v>32.5</v>
      </c>
      <c r="J18" s="1243">
        <v>19</v>
      </c>
      <c r="K18" s="1243">
        <v>16.75</v>
      </c>
      <c r="L18" s="1243">
        <v>17</v>
      </c>
      <c r="M18" s="1243">
        <v>89</v>
      </c>
      <c r="N18" s="1244">
        <v>27</v>
      </c>
      <c r="O18" s="1243"/>
      <c r="P18" s="1243"/>
      <c r="Q18" s="1243"/>
      <c r="R18" s="1244"/>
      <c r="S18" s="1243">
        <v>4.5</v>
      </c>
      <c r="T18" s="1243">
        <v>8</v>
      </c>
      <c r="U18" s="1243">
        <v>34</v>
      </c>
      <c r="V18" s="1243"/>
      <c r="W18" s="2">
        <v>24.8125</v>
      </c>
      <c r="X18" s="1243">
        <v>4.875</v>
      </c>
      <c r="Y18" s="1243">
        <v>21.5</v>
      </c>
      <c r="Z18" s="1243">
        <v>30.25</v>
      </c>
      <c r="AA18" s="1243"/>
      <c r="AB18" s="1230" t="s">
        <v>283</v>
      </c>
      <c r="AC18" s="1245">
        <v>16</v>
      </c>
      <c r="AD18" s="1246">
        <v>1.125</v>
      </c>
      <c r="AE18" s="1246">
        <v>6</v>
      </c>
    </row>
    <row r="19" spans="1:31" ht="15" customHeight="1" thickBot="1" x14ac:dyDescent="0.25">
      <c r="A19" s="1230" t="s">
        <v>284</v>
      </c>
      <c r="B19" s="1237">
        <v>20</v>
      </c>
      <c r="C19" s="157">
        <v>5.6875</v>
      </c>
      <c r="D19" s="1238">
        <v>27.5</v>
      </c>
      <c r="E19" s="1238">
        <v>12.5</v>
      </c>
      <c r="F19" s="1238">
        <v>15</v>
      </c>
      <c r="G19" s="1238">
        <v>20</v>
      </c>
      <c r="H19" s="1238">
        <v>9</v>
      </c>
      <c r="I19" s="157">
        <v>35.6875</v>
      </c>
      <c r="J19" s="157">
        <v>20.6875</v>
      </c>
      <c r="K19" s="157">
        <v>18.1875</v>
      </c>
      <c r="L19" s="1238">
        <v>18</v>
      </c>
      <c r="M19" s="1238">
        <v>97.25</v>
      </c>
      <c r="N19" s="1239">
        <v>30</v>
      </c>
      <c r="O19" s="1238"/>
      <c r="P19" s="1238"/>
      <c r="Q19" s="1238"/>
      <c r="R19" s="1239"/>
      <c r="S19" s="1238">
        <v>5</v>
      </c>
      <c r="T19" s="1238">
        <v>8.625</v>
      </c>
      <c r="U19" s="1238">
        <v>36</v>
      </c>
      <c r="V19" s="1238">
        <v>36</v>
      </c>
      <c r="W19" s="1238">
        <v>25.375</v>
      </c>
      <c r="X19" s="1238">
        <v>4.875</v>
      </c>
      <c r="Y19" s="1238">
        <v>21.5</v>
      </c>
      <c r="Z19" s="1238">
        <v>39</v>
      </c>
      <c r="AA19" s="1238"/>
      <c r="AB19" s="1230" t="s">
        <v>284</v>
      </c>
      <c r="AC19" s="1240">
        <v>20</v>
      </c>
      <c r="AD19" s="1241">
        <v>1.125</v>
      </c>
      <c r="AE19" s="1241">
        <v>6.25</v>
      </c>
    </row>
    <row r="20" spans="1:31" ht="15" customHeight="1" thickBot="1" x14ac:dyDescent="0.25">
      <c r="A20" s="1230" t="s">
        <v>285</v>
      </c>
      <c r="B20" s="1242">
        <v>24</v>
      </c>
      <c r="C20" s="1243">
        <v>6</v>
      </c>
      <c r="D20" s="1243">
        <v>32</v>
      </c>
      <c r="E20" s="1243">
        <v>15</v>
      </c>
      <c r="F20" s="1243">
        <v>17</v>
      </c>
      <c r="G20" s="1243">
        <v>20</v>
      </c>
      <c r="H20" s="1243">
        <v>10.5</v>
      </c>
      <c r="I20" s="1243">
        <v>42</v>
      </c>
      <c r="J20" s="1243">
        <v>23</v>
      </c>
      <c r="K20" s="1243">
        <v>21</v>
      </c>
      <c r="L20" s="1243">
        <v>20</v>
      </c>
      <c r="M20" s="1243">
        <v>112.75</v>
      </c>
      <c r="N20" s="1244">
        <v>30</v>
      </c>
      <c r="O20" s="1243"/>
      <c r="P20" s="1243"/>
      <c r="Q20" s="1243"/>
      <c r="R20" s="1244"/>
      <c r="S20" s="2">
        <v>6.0625</v>
      </c>
      <c r="T20" s="1243">
        <v>8.75</v>
      </c>
      <c r="U20" s="1243">
        <v>42</v>
      </c>
      <c r="V20" s="1243">
        <v>42</v>
      </c>
      <c r="W20" s="1243">
        <v>30.375</v>
      </c>
      <c r="X20" s="1243">
        <v>4.875</v>
      </c>
      <c r="Y20" s="1243">
        <v>21.5</v>
      </c>
      <c r="Z20" s="1243">
        <v>39</v>
      </c>
      <c r="AA20" s="1243"/>
      <c r="AB20" s="1230" t="s">
        <v>285</v>
      </c>
      <c r="AC20" s="1245">
        <v>20</v>
      </c>
      <c r="AD20" s="1246">
        <v>1.25</v>
      </c>
      <c r="AE20" s="1246">
        <v>7</v>
      </c>
    </row>
    <row r="21" spans="1:31" ht="15" customHeight="1" thickBot="1" x14ac:dyDescent="0.25">
      <c r="A21" s="1230" t="s">
        <v>305</v>
      </c>
      <c r="B21" s="1237">
        <v>26</v>
      </c>
      <c r="C21" s="1238">
        <v>4.75</v>
      </c>
      <c r="D21" s="1238">
        <v>34.25</v>
      </c>
      <c r="E21" s="1238">
        <v>16</v>
      </c>
      <c r="F21" s="1238">
        <v>19.5</v>
      </c>
      <c r="G21" s="1238">
        <v>24</v>
      </c>
      <c r="H21" s="1238">
        <v>10.5</v>
      </c>
      <c r="I21" s="1238">
        <v>43.75</v>
      </c>
      <c r="J21" s="1238">
        <v>24.25</v>
      </c>
      <c r="K21" s="1238">
        <v>20.75</v>
      </c>
      <c r="L21" s="1238"/>
      <c r="M21" s="1238"/>
      <c r="N21" s="1239"/>
      <c r="O21" s="1238"/>
      <c r="P21" s="1238"/>
      <c r="Q21" s="1238"/>
      <c r="R21" s="1239"/>
      <c r="S21" s="1238"/>
      <c r="T21" s="1238">
        <v>14</v>
      </c>
      <c r="U21" s="1238">
        <v>45</v>
      </c>
      <c r="V21" s="1238"/>
      <c r="W21" s="1238">
        <v>34.25</v>
      </c>
      <c r="X21" s="1238">
        <v>5.75</v>
      </c>
      <c r="Y21" s="1238">
        <v>31.375</v>
      </c>
      <c r="Z21" s="1238">
        <v>30.25</v>
      </c>
      <c r="AA21" s="1238"/>
      <c r="AB21" s="1230" t="s">
        <v>305</v>
      </c>
      <c r="AC21" s="1240">
        <v>24</v>
      </c>
      <c r="AD21" s="1241">
        <v>1.25</v>
      </c>
      <c r="AE21" s="1241">
        <v>7.25</v>
      </c>
    </row>
    <row r="22" spans="1:31" ht="15" customHeight="1" thickBot="1" x14ac:dyDescent="0.25">
      <c r="A22" s="1230" t="s">
        <v>306</v>
      </c>
      <c r="B22" s="1242">
        <v>28</v>
      </c>
      <c r="C22" s="2">
        <v>4.9375</v>
      </c>
      <c r="D22" s="1243">
        <v>36.5</v>
      </c>
      <c r="E22" s="1243">
        <v>17.25</v>
      </c>
      <c r="F22" s="1243">
        <v>20.5</v>
      </c>
      <c r="G22" s="1243">
        <v>24</v>
      </c>
      <c r="H22" s="1243">
        <v>10.5</v>
      </c>
      <c r="I22" s="2">
        <v>46.9375</v>
      </c>
      <c r="J22" s="2">
        <v>25.4375</v>
      </c>
      <c r="K22" s="2">
        <v>22.1875</v>
      </c>
      <c r="L22" s="1243"/>
      <c r="M22" s="1243"/>
      <c r="N22" s="1244"/>
      <c r="O22" s="1243"/>
      <c r="P22" s="1243"/>
      <c r="Q22" s="1243"/>
      <c r="R22" s="1244"/>
      <c r="S22" s="1243"/>
      <c r="T22" s="1243">
        <v>12</v>
      </c>
      <c r="U22" s="1243">
        <v>49</v>
      </c>
      <c r="V22" s="1243"/>
      <c r="W22" s="1243">
        <v>35.125</v>
      </c>
      <c r="X22" s="1243">
        <v>5.75</v>
      </c>
      <c r="Y22" s="1243">
        <v>31.375</v>
      </c>
      <c r="Z22" s="1243">
        <v>30.25</v>
      </c>
      <c r="AA22" s="1243"/>
      <c r="AB22" s="1230" t="s">
        <v>306</v>
      </c>
      <c r="AC22" s="1245">
        <v>28</v>
      </c>
      <c r="AD22" s="1246">
        <v>1.25</v>
      </c>
      <c r="AE22" s="1246">
        <v>7.25</v>
      </c>
    </row>
    <row r="23" spans="1:31" ht="15" customHeight="1" thickBot="1" x14ac:dyDescent="0.25">
      <c r="A23" s="1230" t="s">
        <v>310</v>
      </c>
      <c r="B23" s="1237">
        <v>30</v>
      </c>
      <c r="C23" s="1238">
        <v>5.375</v>
      </c>
      <c r="D23" s="1238">
        <v>38.75</v>
      </c>
      <c r="E23" s="1238">
        <v>18.5</v>
      </c>
      <c r="F23" s="1238">
        <v>22</v>
      </c>
      <c r="G23" s="1238">
        <v>24</v>
      </c>
      <c r="H23" s="1238">
        <v>10.5</v>
      </c>
      <c r="I23" s="1238">
        <v>50.375</v>
      </c>
      <c r="J23" s="1238">
        <v>27.375</v>
      </c>
      <c r="K23" s="1238">
        <v>23.875</v>
      </c>
      <c r="L23" s="1238"/>
      <c r="M23" s="1238"/>
      <c r="N23" s="1239"/>
      <c r="O23" s="1238"/>
      <c r="P23" s="1238"/>
      <c r="Q23" s="1238"/>
      <c r="R23" s="1239"/>
      <c r="S23" s="1238">
        <v>6.25</v>
      </c>
      <c r="T23" s="1238">
        <v>12</v>
      </c>
      <c r="U23" s="1238">
        <v>51</v>
      </c>
      <c r="V23" s="1238"/>
      <c r="W23" s="1238">
        <v>37.125</v>
      </c>
      <c r="X23" s="1238">
        <v>5.75</v>
      </c>
      <c r="Y23" s="1238">
        <v>31.375</v>
      </c>
      <c r="Z23" s="1238">
        <v>30.25</v>
      </c>
      <c r="AA23" s="1238"/>
      <c r="AB23" s="1230" t="s">
        <v>310</v>
      </c>
      <c r="AC23" s="1240">
        <v>28</v>
      </c>
      <c r="AD23" s="1241">
        <v>1.25</v>
      </c>
      <c r="AE23" s="1241">
        <v>7.5</v>
      </c>
    </row>
    <row r="24" spans="1:31" ht="15" customHeight="1" thickBot="1" x14ac:dyDescent="0.25">
      <c r="A24" s="1230" t="s">
        <v>312</v>
      </c>
      <c r="B24" s="1242">
        <v>36</v>
      </c>
      <c r="C24" s="2">
        <v>6.1875</v>
      </c>
      <c r="D24" s="1243">
        <v>46</v>
      </c>
      <c r="E24" s="1243">
        <v>22.25</v>
      </c>
      <c r="F24" s="1243">
        <v>26.5</v>
      </c>
      <c r="G24" s="1243">
        <v>24</v>
      </c>
      <c r="H24" s="1243">
        <v>10.5</v>
      </c>
      <c r="I24" s="2">
        <v>60.1875</v>
      </c>
      <c r="J24" s="2">
        <v>32.6875</v>
      </c>
      <c r="K24" s="2">
        <v>28.4375</v>
      </c>
      <c r="L24" s="1243"/>
      <c r="M24" s="1243"/>
      <c r="N24" s="1244"/>
      <c r="O24" s="1243"/>
      <c r="P24" s="1243"/>
      <c r="Q24" s="1243"/>
      <c r="R24" s="1244"/>
      <c r="S24" s="1243">
        <v>7</v>
      </c>
      <c r="T24" s="1243">
        <v>14.5</v>
      </c>
      <c r="U24" s="1243">
        <v>60</v>
      </c>
      <c r="V24" s="1243"/>
      <c r="W24" s="1243">
        <v>42.875</v>
      </c>
      <c r="X24" s="1243">
        <v>16</v>
      </c>
      <c r="Y24" s="1243">
        <v>37.25</v>
      </c>
      <c r="Z24" s="1243">
        <v>30.25</v>
      </c>
      <c r="AA24" s="1243"/>
      <c r="AB24" s="1230" t="s">
        <v>312</v>
      </c>
      <c r="AC24" s="1245">
        <v>32</v>
      </c>
      <c r="AD24" s="1246">
        <v>1.5</v>
      </c>
      <c r="AE24" s="1246">
        <v>8.5</v>
      </c>
    </row>
    <row r="25" spans="1:31" ht="15" customHeight="1" thickBot="1" x14ac:dyDescent="0.25">
      <c r="A25" s="1230" t="s">
        <v>315</v>
      </c>
      <c r="B25" s="1237">
        <v>42</v>
      </c>
      <c r="C25" s="1238">
        <v>6.75</v>
      </c>
      <c r="D25" s="1238">
        <v>53</v>
      </c>
      <c r="E25" s="1238">
        <v>26</v>
      </c>
      <c r="F25" s="1238">
        <v>30</v>
      </c>
      <c r="G25" s="1238">
        <v>24</v>
      </c>
      <c r="H25" s="1238">
        <v>12</v>
      </c>
      <c r="I25" s="1238">
        <v>69.75</v>
      </c>
      <c r="J25" s="1238">
        <v>36.75</v>
      </c>
      <c r="K25" s="1238">
        <v>32.75</v>
      </c>
      <c r="L25" s="1238"/>
      <c r="M25" s="1238"/>
      <c r="N25" s="1239"/>
      <c r="O25" s="1238"/>
      <c r="P25" s="1238"/>
      <c r="Q25" s="1238"/>
      <c r="R25" s="1239"/>
      <c r="S25" s="1238">
        <v>9</v>
      </c>
      <c r="T25" s="1238">
        <v>17</v>
      </c>
      <c r="U25" s="1238"/>
      <c r="V25" s="1238"/>
      <c r="W25" s="157"/>
      <c r="X25" s="157"/>
      <c r="Y25" s="1238"/>
      <c r="Z25" s="1239"/>
      <c r="AA25" s="1238"/>
      <c r="AB25" s="1230" t="s">
        <v>315</v>
      </c>
      <c r="AC25" s="1240">
        <v>36</v>
      </c>
      <c r="AD25" s="1241">
        <v>1.5</v>
      </c>
      <c r="AE25" s="1241">
        <v>9</v>
      </c>
    </row>
    <row r="26" spans="1:31" x14ac:dyDescent="0.2">
      <c r="A26" t="s">
        <v>796</v>
      </c>
      <c r="D26" s="15"/>
      <c r="E26" s="1324" t="s">
        <v>797</v>
      </c>
      <c r="F26" s="1325"/>
      <c r="G26" s="1326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</row>
    <row r="27" spans="1:31" x14ac:dyDescent="0.2">
      <c r="A27" t="s">
        <v>798</v>
      </c>
      <c r="D27" s="15"/>
      <c r="E27" s="1327"/>
      <c r="F27" s="1328"/>
      <c r="G27" s="1329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</row>
    <row r="28" spans="1:31" x14ac:dyDescent="0.2">
      <c r="A28" s="1247" t="s">
        <v>799</v>
      </c>
      <c r="B28" s="1247"/>
      <c r="C28" s="1247"/>
      <c r="D28" s="1247"/>
      <c r="E28" s="1330"/>
      <c r="F28" s="1331"/>
      <c r="G28" s="1332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</row>
    <row r="29" spans="1:31" x14ac:dyDescent="0.2">
      <c r="A29" s="1247" t="s">
        <v>800</v>
      </c>
      <c r="B29" s="1247"/>
      <c r="C29" s="1247"/>
      <c r="D29" s="1247"/>
    </row>
  </sheetData>
  <mergeCells count="26">
    <mergeCell ref="O3:O4"/>
    <mergeCell ref="P3:R4"/>
    <mergeCell ref="S3:S4"/>
    <mergeCell ref="T3:T4"/>
    <mergeCell ref="E26:G26"/>
    <mergeCell ref="E27:G28"/>
    <mergeCell ref="I3:I4"/>
    <mergeCell ref="J3:J4"/>
    <mergeCell ref="G3:G4"/>
    <mergeCell ref="H3:H4"/>
    <mergeCell ref="A1:AE1"/>
    <mergeCell ref="A2:AB2"/>
    <mergeCell ref="A3:A4"/>
    <mergeCell ref="B3:B4"/>
    <mergeCell ref="C3:C4"/>
    <mergeCell ref="D3:D4"/>
    <mergeCell ref="E3:E4"/>
    <mergeCell ref="F3:F4"/>
    <mergeCell ref="AC3:AC5"/>
    <mergeCell ref="AD3:AE3"/>
    <mergeCell ref="AD4:AD5"/>
    <mergeCell ref="AE4:AE5"/>
    <mergeCell ref="K3:K4"/>
    <mergeCell ref="L3:N4"/>
    <mergeCell ref="U3:AA3"/>
    <mergeCell ref="AB3:AB4"/>
  </mergeCells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progId="AutoCAD-r13" shapeId="36865" r:id="rId3">
          <objectPr locked="0" defaultSize="0" autoPict="0" r:id="rId4">
            <anchor moveWithCells="1">
              <from>
                <xdr:col>4</xdr:col>
                <xdr:colOff>314325</xdr:colOff>
                <xdr:row>1</xdr:row>
                <xdr:rowOff>19050</xdr:rowOff>
              </from>
              <to>
                <xdr:col>24</xdr:col>
                <xdr:colOff>85725</xdr:colOff>
                <xdr:row>1</xdr:row>
                <xdr:rowOff>2695575</xdr:rowOff>
              </to>
            </anchor>
          </objectPr>
        </oleObject>
      </mc:Choice>
      <mc:Fallback>
        <oleObject progId="AutoCAD-r13" shapeId="36865" r:id="rId3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1:N371"/>
  <sheetViews>
    <sheetView showGridLines="0" zoomScale="95" workbookViewId="0">
      <pane ySplit="19" topLeftCell="A299" activePane="bottomLeft" state="frozen"/>
      <selection pane="bottomLeft" activeCell="E305" sqref="E305"/>
    </sheetView>
  </sheetViews>
  <sheetFormatPr defaultRowHeight="12.75" x14ac:dyDescent="0.2"/>
  <cols>
    <col min="1" max="1" width="2.5703125" customWidth="1"/>
    <col min="2" max="2" width="13.28515625" bestFit="1" customWidth="1"/>
    <col min="4" max="4" width="8.85546875" customWidth="1"/>
    <col min="5" max="5" width="9.85546875" customWidth="1"/>
    <col min="8" max="8" width="9.28515625" customWidth="1"/>
    <col min="9" max="9" width="9.7109375" customWidth="1"/>
    <col min="10" max="10" width="10" customWidth="1"/>
    <col min="11" max="11" width="12.85546875" customWidth="1"/>
    <col min="12" max="12" width="13.28515625" customWidth="1"/>
    <col min="13" max="13" width="12" customWidth="1"/>
    <col min="14" max="14" width="0" hidden="1" customWidth="1"/>
  </cols>
  <sheetData>
    <row r="1" spans="2:14" x14ac:dyDescent="0.2">
      <c r="B1" s="116">
        <f ca="1">NOW()</f>
        <v>42899.605034722219</v>
      </c>
      <c r="M1" s="31" t="s">
        <v>1788</v>
      </c>
      <c r="N1" s="31"/>
    </row>
    <row r="2" spans="2:14" ht="15.75" x14ac:dyDescent="0.25">
      <c r="B2" s="121"/>
      <c r="H2" s="35" t="s">
        <v>1814</v>
      </c>
      <c r="M2" t="s">
        <v>1787</v>
      </c>
    </row>
    <row r="3" spans="2:14" ht="23.25" x14ac:dyDescent="0.35">
      <c r="D3" s="193" t="s">
        <v>1098</v>
      </c>
      <c r="H3" s="35" t="s">
        <v>1723</v>
      </c>
    </row>
    <row r="4" spans="2:14" x14ac:dyDescent="0.2">
      <c r="H4" s="192"/>
    </row>
    <row r="5" spans="2:14" ht="15.75" x14ac:dyDescent="0.25">
      <c r="H5" s="35" t="s">
        <v>1724</v>
      </c>
    </row>
    <row r="6" spans="2:14" ht="15.75" x14ac:dyDescent="0.25">
      <c r="E6" s="35" t="s">
        <v>1720</v>
      </c>
      <c r="F6" s="192"/>
      <c r="K6" s="35" t="s">
        <v>1725</v>
      </c>
    </row>
    <row r="9" spans="2:14" ht="15.75" x14ac:dyDescent="0.25">
      <c r="K9" s="35" t="s">
        <v>1726</v>
      </c>
    </row>
    <row r="11" spans="2:14" ht="15.75" x14ac:dyDescent="0.25">
      <c r="F11" s="35" t="s">
        <v>895</v>
      </c>
    </row>
    <row r="12" spans="2:14" ht="15.75" x14ac:dyDescent="0.25">
      <c r="F12" s="35" t="s">
        <v>1721</v>
      </c>
    </row>
    <row r="13" spans="2:14" ht="15.75" x14ac:dyDescent="0.25">
      <c r="I13" s="35" t="s">
        <v>1719</v>
      </c>
    </row>
    <row r="17" spans="2:14" ht="13.5" thickBot="1" x14ac:dyDescent="0.25">
      <c r="B17" s="369" t="s">
        <v>1565</v>
      </c>
      <c r="C17" s="137"/>
      <c r="D17" s="137"/>
      <c r="E17" s="137"/>
      <c r="F17" s="137"/>
      <c r="G17" s="137"/>
      <c r="H17" s="137"/>
    </row>
    <row r="18" spans="2:14" ht="15.75" x14ac:dyDescent="0.25">
      <c r="B18" s="370" t="s">
        <v>893</v>
      </c>
      <c r="C18" s="371" t="s">
        <v>895</v>
      </c>
      <c r="D18" s="371" t="s">
        <v>905</v>
      </c>
      <c r="E18" s="371" t="s">
        <v>907</v>
      </c>
      <c r="F18" s="371" t="s">
        <v>908</v>
      </c>
      <c r="G18" s="372" t="s">
        <v>909</v>
      </c>
      <c r="H18" s="373" t="s">
        <v>910</v>
      </c>
      <c r="I18" s="371" t="s">
        <v>896</v>
      </c>
      <c r="J18" s="374" t="s">
        <v>1096</v>
      </c>
      <c r="K18" s="374" t="s">
        <v>1563</v>
      </c>
      <c r="L18" s="374" t="s">
        <v>1792</v>
      </c>
      <c r="M18" s="374" t="s">
        <v>1484</v>
      </c>
    </row>
    <row r="19" spans="2:14" ht="18.75" thickBot="1" x14ac:dyDescent="0.3">
      <c r="B19" s="375" t="s">
        <v>894</v>
      </c>
      <c r="C19" s="376" t="s">
        <v>904</v>
      </c>
      <c r="D19" s="376" t="s">
        <v>906</v>
      </c>
      <c r="E19" s="376" t="s">
        <v>1095</v>
      </c>
      <c r="F19" s="377" t="s">
        <v>941</v>
      </c>
      <c r="G19" s="378"/>
      <c r="H19" s="379"/>
      <c r="I19" s="380" t="s">
        <v>897</v>
      </c>
      <c r="J19" s="379" t="s">
        <v>897</v>
      </c>
      <c r="K19" s="379" t="s">
        <v>1564</v>
      </c>
      <c r="L19" s="381" t="s">
        <v>1793</v>
      </c>
      <c r="M19" s="381" t="s">
        <v>1813</v>
      </c>
    </row>
    <row r="20" spans="2:14" x14ac:dyDescent="0.2">
      <c r="B20" s="144" t="s">
        <v>1566</v>
      </c>
      <c r="C20" s="145">
        <v>44</v>
      </c>
      <c r="D20" s="146">
        <v>1</v>
      </c>
      <c r="E20" s="145">
        <v>11.75</v>
      </c>
      <c r="F20" s="145">
        <v>1.75</v>
      </c>
      <c r="G20" s="147">
        <v>2.6875</v>
      </c>
      <c r="H20" s="145">
        <v>1.375</v>
      </c>
      <c r="I20" s="148"/>
      <c r="J20" s="148"/>
      <c r="K20" s="154">
        <f t="shared" ref="K20:K60" si="0">((C20-(F20*2))*2+(E20*4)+(F20*4)-(D20*2))*12/144</f>
        <v>11.083333333333334</v>
      </c>
      <c r="L20" s="276">
        <f>K20*3.2808399*0.09290304</f>
        <v>3.3782000051348642</v>
      </c>
      <c r="M20" s="276">
        <f>N20*3.2808399*0.4535924</f>
        <v>424.12675261317662</v>
      </c>
      <c r="N20" s="1">
        <v>285</v>
      </c>
    </row>
    <row r="21" spans="2:14" x14ac:dyDescent="0.2">
      <c r="B21" s="149" t="s">
        <v>1567</v>
      </c>
      <c r="C21" s="150">
        <v>43.625</v>
      </c>
      <c r="D21" s="150">
        <v>0.875</v>
      </c>
      <c r="E21" s="150">
        <v>11.75</v>
      </c>
      <c r="F21" s="150">
        <v>1.5625</v>
      </c>
      <c r="G21" s="151">
        <v>2.5</v>
      </c>
      <c r="H21" s="150">
        <v>1.3125</v>
      </c>
      <c r="I21" s="152"/>
      <c r="J21" s="152"/>
      <c r="K21" s="154">
        <f t="shared" si="0"/>
        <v>11.041666666666666</v>
      </c>
      <c r="L21" s="277">
        <f>K21*3.2808399*0.09290304</f>
        <v>3.3655000051155604</v>
      </c>
      <c r="M21" s="277">
        <f>N21*3.2808399*0.4535924</f>
        <v>369.06468297567648</v>
      </c>
      <c r="N21" s="1">
        <v>248</v>
      </c>
    </row>
    <row r="22" spans="2:14" x14ac:dyDescent="0.2">
      <c r="B22" s="149" t="s">
        <v>1568</v>
      </c>
      <c r="C22" s="150">
        <v>43.25</v>
      </c>
      <c r="D22" s="150">
        <v>0.8125</v>
      </c>
      <c r="E22" s="150">
        <v>11.75</v>
      </c>
      <c r="F22" s="150">
        <v>1.4375</v>
      </c>
      <c r="G22" s="151">
        <v>2.3125</v>
      </c>
      <c r="H22" s="150">
        <v>1.3125</v>
      </c>
      <c r="I22" s="152"/>
      <c r="J22" s="152"/>
      <c r="K22" s="154">
        <f t="shared" si="0"/>
        <v>10.989583333333334</v>
      </c>
      <c r="L22" s="278">
        <f>K22*3.2808399*0.09290304</f>
        <v>3.3496250050914305</v>
      </c>
      <c r="M22" s="278">
        <f>N22*3.2808399*0.4535924</f>
        <v>333.34874591351428</v>
      </c>
      <c r="N22" s="1">
        <v>224</v>
      </c>
    </row>
    <row r="23" spans="2:14" x14ac:dyDescent="0.2">
      <c r="B23" s="149" t="s">
        <v>1569</v>
      </c>
      <c r="C23" s="328">
        <v>42.875</v>
      </c>
      <c r="D23" s="328">
        <v>0.6875</v>
      </c>
      <c r="E23" s="328">
        <v>11.75</v>
      </c>
      <c r="F23" s="328">
        <v>1.25</v>
      </c>
      <c r="G23" s="329">
        <v>2.125</v>
      </c>
      <c r="H23" s="328">
        <v>1.25</v>
      </c>
      <c r="I23" s="330"/>
      <c r="J23" s="330"/>
      <c r="K23" s="331">
        <f t="shared" si="0"/>
        <v>10.947916666666666</v>
      </c>
      <c r="L23" s="311">
        <f>K23*3.2808399*0.09290304</f>
        <v>3.3369250050721266</v>
      </c>
      <c r="M23" s="277">
        <f>N23*3.2808399*0.4535924</f>
        <v>294.6564807628385</v>
      </c>
      <c r="N23" s="1">
        <v>198</v>
      </c>
    </row>
    <row r="24" spans="2:14" x14ac:dyDescent="0.2">
      <c r="B24" s="312"/>
      <c r="C24" s="327"/>
      <c r="D24" s="327"/>
      <c r="E24" s="327"/>
      <c r="F24" s="327"/>
      <c r="G24" s="327"/>
      <c r="H24" s="327"/>
      <c r="I24" s="80"/>
      <c r="J24" s="80"/>
      <c r="K24" s="80"/>
      <c r="L24" s="333"/>
      <c r="M24" s="319"/>
      <c r="N24" s="1"/>
    </row>
    <row r="25" spans="2:14" x14ac:dyDescent="0.2">
      <c r="B25" s="149" t="s">
        <v>1570</v>
      </c>
      <c r="C25" s="150">
        <v>40</v>
      </c>
      <c r="D25" s="150">
        <v>0.9375</v>
      </c>
      <c r="E25" s="150">
        <v>17.875</v>
      </c>
      <c r="F25" s="150">
        <v>1.75</v>
      </c>
      <c r="G25" s="151">
        <v>3.125</v>
      </c>
      <c r="H25" s="150">
        <v>1.6875</v>
      </c>
      <c r="I25" s="152"/>
      <c r="J25" s="152"/>
      <c r="K25" s="154">
        <f t="shared" si="0"/>
        <v>12.46875</v>
      </c>
      <c r="L25" s="277">
        <f>K25*3.2808399*0.09290304</f>
        <v>3.8004750057767223</v>
      </c>
      <c r="M25" s="277">
        <f t="shared" ref="M25:M30" si="1">N25*3.2808399*0.4535924</f>
        <v>488.11780651621729</v>
      </c>
      <c r="N25" s="1">
        <v>328</v>
      </c>
    </row>
    <row r="26" spans="2:14" x14ac:dyDescent="0.2">
      <c r="B26" s="149" t="s">
        <v>1571</v>
      </c>
      <c r="C26" s="150">
        <v>39.75</v>
      </c>
      <c r="D26" s="150">
        <v>0.8125</v>
      </c>
      <c r="E26" s="150">
        <v>17.875</v>
      </c>
      <c r="F26" s="150">
        <v>1.5625</v>
      </c>
      <c r="G26" s="151">
        <v>3</v>
      </c>
      <c r="H26" s="150">
        <v>1.625</v>
      </c>
      <c r="I26" s="152"/>
      <c r="J26" s="152"/>
      <c r="K26" s="154">
        <f t="shared" si="0"/>
        <v>12.447916666666666</v>
      </c>
      <c r="L26" s="278">
        <f>K26*3.2808399*0.09290304</f>
        <v>3.7941250057670706</v>
      </c>
      <c r="M26" s="278">
        <f t="shared" si="1"/>
        <v>443.47288518851451</v>
      </c>
      <c r="N26" s="1">
        <v>298</v>
      </c>
    </row>
    <row r="27" spans="2:14" x14ac:dyDescent="0.2">
      <c r="B27" s="149" t="s">
        <v>1573</v>
      </c>
      <c r="C27" s="150">
        <v>39.375</v>
      </c>
      <c r="D27" s="150">
        <v>0.75</v>
      </c>
      <c r="E27" s="150">
        <v>17.75</v>
      </c>
      <c r="F27" s="150">
        <v>1.4375</v>
      </c>
      <c r="G27" s="151">
        <v>2.8125</v>
      </c>
      <c r="H27" s="150">
        <v>1.5625</v>
      </c>
      <c r="I27" s="152"/>
      <c r="J27" s="152"/>
      <c r="K27" s="154">
        <f t="shared" si="0"/>
        <v>12.354166666666666</v>
      </c>
      <c r="L27" s="278">
        <f t="shared" ref="L27:L89" si="2">K27*3.2808399*0.09290304</f>
        <v>3.765550005723636</v>
      </c>
      <c r="M27" s="278">
        <f t="shared" si="1"/>
        <v>398.82796386081168</v>
      </c>
      <c r="N27" s="1">
        <v>268</v>
      </c>
    </row>
    <row r="28" spans="2:14" x14ac:dyDescent="0.2">
      <c r="B28" s="149" t="s">
        <v>1572</v>
      </c>
      <c r="C28" s="150">
        <v>39</v>
      </c>
      <c r="D28" s="150">
        <v>0.6875</v>
      </c>
      <c r="E28" s="150">
        <v>17.75</v>
      </c>
      <c r="F28" s="150">
        <v>1.25</v>
      </c>
      <c r="G28" s="151">
        <v>2.625</v>
      </c>
      <c r="H28" s="150">
        <v>1.5625</v>
      </c>
      <c r="I28" s="152"/>
      <c r="J28" s="152"/>
      <c r="K28" s="154">
        <f t="shared" si="0"/>
        <v>12.302083333333334</v>
      </c>
      <c r="L28" s="278">
        <f t="shared" si="2"/>
        <v>3.7496750056995065</v>
      </c>
      <c r="M28" s="277">
        <f t="shared" si="1"/>
        <v>363.11202679864948</v>
      </c>
      <c r="N28" s="1">
        <v>244</v>
      </c>
    </row>
    <row r="29" spans="2:14" x14ac:dyDescent="0.2">
      <c r="B29" s="149" t="s">
        <v>1574</v>
      </c>
      <c r="C29" s="150">
        <v>38.625</v>
      </c>
      <c r="D29" s="150">
        <v>0.6875</v>
      </c>
      <c r="E29" s="150">
        <v>17.75</v>
      </c>
      <c r="F29" s="150">
        <v>1.0625</v>
      </c>
      <c r="G29" s="151">
        <v>2.4375</v>
      </c>
      <c r="H29" s="150">
        <v>1.5625</v>
      </c>
      <c r="I29" s="152"/>
      <c r="J29" s="152"/>
      <c r="K29" s="154">
        <f t="shared" si="0"/>
        <v>12.239583333333334</v>
      </c>
      <c r="L29" s="278">
        <f t="shared" si="2"/>
        <v>3.730625005670551</v>
      </c>
      <c r="M29" s="278">
        <f t="shared" si="1"/>
        <v>328.88425378074396</v>
      </c>
      <c r="N29" s="1">
        <v>221</v>
      </c>
    </row>
    <row r="30" spans="2:14" x14ac:dyDescent="0.2">
      <c r="B30" s="149" t="s">
        <v>1575</v>
      </c>
      <c r="C30" s="328">
        <v>38.25</v>
      </c>
      <c r="D30" s="328">
        <v>0.6875</v>
      </c>
      <c r="E30" s="328">
        <v>17.75</v>
      </c>
      <c r="F30" s="328">
        <v>0.8125</v>
      </c>
      <c r="G30" s="329">
        <v>2.25</v>
      </c>
      <c r="H30" s="328">
        <v>1.5625</v>
      </c>
      <c r="I30" s="330"/>
      <c r="J30" s="330"/>
      <c r="K30" s="331">
        <f t="shared" si="0"/>
        <v>12.177083333333334</v>
      </c>
      <c r="L30" s="332">
        <f t="shared" si="2"/>
        <v>3.7115750056415946</v>
      </c>
      <c r="M30" s="277">
        <f t="shared" si="1"/>
        <v>285.72749649729792</v>
      </c>
      <c r="N30" s="1">
        <v>192</v>
      </c>
    </row>
    <row r="31" spans="2:14" x14ac:dyDescent="0.2">
      <c r="B31" s="312"/>
      <c r="C31" s="327"/>
      <c r="D31" s="327"/>
      <c r="E31" s="327"/>
      <c r="F31" s="327"/>
      <c r="G31" s="327"/>
      <c r="H31" s="327"/>
      <c r="I31" s="80"/>
      <c r="J31" s="80"/>
      <c r="K31" s="80"/>
      <c r="L31" s="324"/>
      <c r="M31" s="319"/>
      <c r="N31" s="1"/>
    </row>
    <row r="32" spans="2:14" x14ac:dyDescent="0.2">
      <c r="B32" s="149" t="s">
        <v>1576</v>
      </c>
      <c r="C32" s="150">
        <v>43.625</v>
      </c>
      <c r="D32" s="150">
        <v>2</v>
      </c>
      <c r="E32" s="150">
        <v>16.875</v>
      </c>
      <c r="F32" s="150">
        <v>3.5625</v>
      </c>
      <c r="G32" s="151">
        <v>4.9375</v>
      </c>
      <c r="H32" s="150">
        <v>2.25</v>
      </c>
      <c r="I32" s="152"/>
      <c r="J32" s="152"/>
      <c r="K32" s="154">
        <f t="shared" si="0"/>
        <v>12.5625</v>
      </c>
      <c r="L32" s="277">
        <f t="shared" si="2"/>
        <v>3.829050005820156</v>
      </c>
      <c r="M32" s="278">
        <f t="shared" ref="M32:M97" si="3">N32*3.2808399*0.4535924</f>
        <v>974.74744898817778</v>
      </c>
      <c r="N32" s="1">
        <v>655</v>
      </c>
    </row>
    <row r="33" spans="2:14" x14ac:dyDescent="0.2">
      <c r="B33" s="149" t="s">
        <v>1577</v>
      </c>
      <c r="C33" s="150">
        <v>43</v>
      </c>
      <c r="D33" s="150">
        <v>1.8125</v>
      </c>
      <c r="E33" s="150">
        <v>16.75</v>
      </c>
      <c r="F33" s="150">
        <v>3.25</v>
      </c>
      <c r="G33" s="151">
        <v>4.625</v>
      </c>
      <c r="H33" s="150">
        <v>2.125</v>
      </c>
      <c r="I33" s="152"/>
      <c r="J33" s="152"/>
      <c r="K33" s="154">
        <f t="shared" si="0"/>
        <v>12.447916666666666</v>
      </c>
      <c r="L33" s="278">
        <f t="shared" si="2"/>
        <v>3.7941250057670706</v>
      </c>
      <c r="M33" s="278">
        <f t="shared" si="3"/>
        <v>882.48127824425876</v>
      </c>
      <c r="N33" s="1">
        <v>593</v>
      </c>
    </row>
    <row r="34" spans="2:14" x14ac:dyDescent="0.2">
      <c r="B34" s="149" t="s">
        <v>1578</v>
      </c>
      <c r="C34" s="150">
        <v>42.375</v>
      </c>
      <c r="D34" s="150">
        <v>1.625</v>
      </c>
      <c r="E34" s="150">
        <v>16.5</v>
      </c>
      <c r="F34" s="150">
        <v>2.9375</v>
      </c>
      <c r="G34" s="151">
        <v>4.3125</v>
      </c>
      <c r="H34" s="150">
        <v>2</v>
      </c>
      <c r="I34" s="152"/>
      <c r="J34" s="152"/>
      <c r="K34" s="154">
        <f t="shared" si="0"/>
        <v>12.291666666666666</v>
      </c>
      <c r="L34" s="278">
        <f t="shared" si="2"/>
        <v>3.7465000056946804</v>
      </c>
      <c r="M34" s="278">
        <f t="shared" si="3"/>
        <v>790.21510750033963</v>
      </c>
      <c r="N34" s="1">
        <v>531</v>
      </c>
    </row>
    <row r="35" spans="2:14" x14ac:dyDescent="0.2">
      <c r="B35" s="149" t="s">
        <v>1579</v>
      </c>
      <c r="C35" s="150">
        <v>41.75</v>
      </c>
      <c r="D35" s="150">
        <v>1.4375</v>
      </c>
      <c r="E35" s="150">
        <v>16.375</v>
      </c>
      <c r="F35" s="150">
        <v>2.625</v>
      </c>
      <c r="G35" s="151">
        <v>4</v>
      </c>
      <c r="H35" s="150">
        <v>2</v>
      </c>
      <c r="I35" s="152"/>
      <c r="J35" s="152"/>
      <c r="K35" s="154">
        <f t="shared" si="0"/>
        <v>12.177083333333334</v>
      </c>
      <c r="L35" s="278">
        <f t="shared" si="2"/>
        <v>3.7115750056415946</v>
      </c>
      <c r="M35" s="278">
        <f t="shared" si="3"/>
        <v>714.31874124324474</v>
      </c>
      <c r="N35" s="1">
        <v>480</v>
      </c>
    </row>
    <row r="36" spans="2:14" x14ac:dyDescent="0.2">
      <c r="B36" s="149" t="s">
        <v>1580</v>
      </c>
      <c r="C36" s="150">
        <v>41.375</v>
      </c>
      <c r="D36" s="150">
        <v>1.3125</v>
      </c>
      <c r="E36" s="150">
        <v>16.25</v>
      </c>
      <c r="F36" s="150">
        <v>2.375</v>
      </c>
      <c r="G36" s="151">
        <v>3.8125</v>
      </c>
      <c r="H36" s="150">
        <v>1.9375</v>
      </c>
      <c r="I36" s="152"/>
      <c r="J36" s="152"/>
      <c r="K36" s="154">
        <f t="shared" si="0"/>
        <v>12.09375</v>
      </c>
      <c r="L36" s="278">
        <f t="shared" si="2"/>
        <v>3.6861750056029861</v>
      </c>
      <c r="M36" s="278">
        <f t="shared" si="3"/>
        <v>648.8395232959474</v>
      </c>
      <c r="N36" s="1">
        <v>436</v>
      </c>
    </row>
    <row r="37" spans="2:14" x14ac:dyDescent="0.2">
      <c r="B37" s="149" t="s">
        <v>1581</v>
      </c>
      <c r="C37" s="150">
        <v>41</v>
      </c>
      <c r="D37" s="150">
        <v>1.25</v>
      </c>
      <c r="E37" s="150">
        <v>16.125</v>
      </c>
      <c r="F37" s="150">
        <v>2.1875</v>
      </c>
      <c r="G37" s="151">
        <v>3.625</v>
      </c>
      <c r="H37" s="150">
        <v>1.875</v>
      </c>
      <c r="I37" s="152"/>
      <c r="J37" s="152"/>
      <c r="K37" s="154">
        <f t="shared" si="0"/>
        <v>12</v>
      </c>
      <c r="L37" s="278">
        <f t="shared" si="2"/>
        <v>3.6576000055595523</v>
      </c>
      <c r="M37" s="278">
        <f t="shared" si="3"/>
        <v>590.80112556993367</v>
      </c>
      <c r="N37" s="1">
        <v>397</v>
      </c>
    </row>
    <row r="38" spans="2:14" x14ac:dyDescent="0.2">
      <c r="B38" s="149" t="s">
        <v>1582</v>
      </c>
      <c r="C38" s="150">
        <v>40.5</v>
      </c>
      <c r="D38" s="150">
        <v>1.125</v>
      </c>
      <c r="E38" s="150">
        <v>16</v>
      </c>
      <c r="F38" s="150">
        <v>2</v>
      </c>
      <c r="G38" s="151">
        <v>3.375</v>
      </c>
      <c r="H38" s="150">
        <v>1.8125</v>
      </c>
      <c r="I38" s="152"/>
      <c r="J38" s="152"/>
      <c r="K38" s="154">
        <f t="shared" si="0"/>
        <v>11.895833333333334</v>
      </c>
      <c r="L38" s="278">
        <f t="shared" si="2"/>
        <v>3.6258500055112926</v>
      </c>
      <c r="M38" s="278">
        <f t="shared" si="3"/>
        <v>538.71538402094711</v>
      </c>
      <c r="N38" s="1">
        <v>362</v>
      </c>
    </row>
    <row r="39" spans="2:14" x14ac:dyDescent="0.2">
      <c r="B39" s="149" t="s">
        <v>1583</v>
      </c>
      <c r="C39" s="150">
        <v>40.125</v>
      </c>
      <c r="D39" s="150">
        <v>1</v>
      </c>
      <c r="E39" s="150">
        <v>15.875</v>
      </c>
      <c r="F39" s="150">
        <v>1.8125</v>
      </c>
      <c r="G39" s="151">
        <v>3.1875</v>
      </c>
      <c r="H39" s="150">
        <v>1.75</v>
      </c>
      <c r="I39" s="152"/>
      <c r="J39" s="152"/>
      <c r="K39" s="154">
        <f t="shared" si="0"/>
        <v>11.8125</v>
      </c>
      <c r="L39" s="278">
        <f t="shared" si="2"/>
        <v>3.6004500054726845</v>
      </c>
      <c r="M39" s="278">
        <f t="shared" si="3"/>
        <v>482.16515033919023</v>
      </c>
      <c r="N39" s="1">
        <v>324</v>
      </c>
    </row>
    <row r="40" spans="2:14" x14ac:dyDescent="0.2">
      <c r="B40" s="149" t="s">
        <v>1584</v>
      </c>
      <c r="C40" s="150">
        <v>39.875</v>
      </c>
      <c r="D40" s="150">
        <v>0.9375</v>
      </c>
      <c r="E40" s="150">
        <v>15.875</v>
      </c>
      <c r="F40" s="150">
        <v>1.625</v>
      </c>
      <c r="G40" s="151">
        <v>3.0625</v>
      </c>
      <c r="H40" s="150">
        <v>1.6875</v>
      </c>
      <c r="I40" s="152"/>
      <c r="J40" s="152"/>
      <c r="K40" s="154">
        <f t="shared" si="0"/>
        <v>11.78125</v>
      </c>
      <c r="L40" s="278">
        <f t="shared" si="2"/>
        <v>3.5909250054582063</v>
      </c>
      <c r="M40" s="278">
        <f t="shared" si="3"/>
        <v>441.98472114425772</v>
      </c>
      <c r="N40" s="1">
        <v>297</v>
      </c>
    </row>
    <row r="41" spans="2:14" x14ac:dyDescent="0.2">
      <c r="B41" s="149" t="s">
        <v>1585</v>
      </c>
      <c r="C41" s="150">
        <v>39.75</v>
      </c>
      <c r="D41" s="150">
        <v>0.8125</v>
      </c>
      <c r="E41" s="150">
        <v>15.875</v>
      </c>
      <c r="F41" s="150">
        <v>1.5625</v>
      </c>
      <c r="G41" s="151">
        <v>3</v>
      </c>
      <c r="H41" s="150">
        <v>1.625</v>
      </c>
      <c r="I41" s="152"/>
      <c r="J41" s="152"/>
      <c r="K41" s="154">
        <f t="shared" si="0"/>
        <v>11.78125</v>
      </c>
      <c r="L41" s="278">
        <f t="shared" si="2"/>
        <v>3.5909250054582063</v>
      </c>
      <c r="M41" s="278">
        <f t="shared" si="3"/>
        <v>412.22144025912252</v>
      </c>
      <c r="N41" s="1">
        <v>277</v>
      </c>
    </row>
    <row r="42" spans="2:14" x14ac:dyDescent="0.2">
      <c r="B42" s="149" t="s">
        <v>1586</v>
      </c>
      <c r="C42" s="150">
        <v>39.375</v>
      </c>
      <c r="D42" s="150">
        <v>0.75</v>
      </c>
      <c r="E42" s="150">
        <v>15.75</v>
      </c>
      <c r="F42" s="150">
        <v>1.4375</v>
      </c>
      <c r="G42" s="151">
        <v>2.8125</v>
      </c>
      <c r="H42" s="150">
        <v>1.5625</v>
      </c>
      <c r="I42" s="152"/>
      <c r="J42" s="152"/>
      <c r="K42" s="154">
        <f t="shared" si="0"/>
        <v>11.6875</v>
      </c>
      <c r="L42" s="278">
        <f t="shared" si="2"/>
        <v>3.5623500054147725</v>
      </c>
      <c r="M42" s="278">
        <f t="shared" si="3"/>
        <v>370.55284701993327</v>
      </c>
      <c r="N42" s="1">
        <v>249</v>
      </c>
    </row>
    <row r="43" spans="2:14" x14ac:dyDescent="0.2">
      <c r="B43" s="149" t="s">
        <v>1587</v>
      </c>
      <c r="C43" s="150">
        <v>39</v>
      </c>
      <c r="D43" s="150">
        <v>0.625</v>
      </c>
      <c r="E43" s="150">
        <v>15.75</v>
      </c>
      <c r="F43" s="150">
        <v>1.25</v>
      </c>
      <c r="G43" s="151">
        <v>2.625</v>
      </c>
      <c r="H43" s="150">
        <v>1.5625</v>
      </c>
      <c r="I43" s="152"/>
      <c r="J43" s="152"/>
      <c r="K43" s="154">
        <f t="shared" si="0"/>
        <v>11.645833333333334</v>
      </c>
      <c r="L43" s="278">
        <f t="shared" si="2"/>
        <v>3.5496500053954687</v>
      </c>
      <c r="M43" s="278">
        <f t="shared" si="3"/>
        <v>319.95526951520344</v>
      </c>
      <c r="N43" s="1">
        <v>215</v>
      </c>
    </row>
    <row r="44" spans="2:14" x14ac:dyDescent="0.2">
      <c r="B44" s="149" t="s">
        <v>1588</v>
      </c>
      <c r="C44" s="328">
        <v>38.625</v>
      </c>
      <c r="D44" s="328">
        <v>0.625</v>
      </c>
      <c r="E44" s="328">
        <v>15.75</v>
      </c>
      <c r="F44" s="328">
        <v>1.0625</v>
      </c>
      <c r="G44" s="329">
        <v>2.4375</v>
      </c>
      <c r="H44" s="328">
        <v>1.5625</v>
      </c>
      <c r="I44" s="330"/>
      <c r="J44" s="330"/>
      <c r="K44" s="331">
        <f t="shared" si="0"/>
        <v>11.583333333333334</v>
      </c>
      <c r="L44" s="332">
        <f t="shared" si="2"/>
        <v>3.5306000053665128</v>
      </c>
      <c r="M44" s="278">
        <f t="shared" si="3"/>
        <v>296.14464480709523</v>
      </c>
      <c r="N44" s="1">
        <v>199</v>
      </c>
    </row>
    <row r="45" spans="2:14" x14ac:dyDescent="0.2">
      <c r="B45" s="312"/>
      <c r="C45" s="327"/>
      <c r="D45" s="327"/>
      <c r="E45" s="327"/>
      <c r="F45" s="327"/>
      <c r="G45" s="327"/>
      <c r="H45" s="327"/>
      <c r="I45" s="80"/>
      <c r="J45" s="80"/>
      <c r="K45" s="80"/>
      <c r="L45" s="324"/>
      <c r="M45" s="319"/>
      <c r="N45" s="1"/>
    </row>
    <row r="46" spans="2:14" x14ac:dyDescent="0.2">
      <c r="B46" s="149" t="s">
        <v>1589</v>
      </c>
      <c r="C46" s="150">
        <v>39</v>
      </c>
      <c r="D46" s="150">
        <v>0.625</v>
      </c>
      <c r="E46" s="150">
        <v>11.75</v>
      </c>
      <c r="F46" s="150">
        <v>1.25</v>
      </c>
      <c r="G46" s="151">
        <v>2.625</v>
      </c>
      <c r="H46" s="150">
        <v>1.5625</v>
      </c>
      <c r="I46" s="152"/>
      <c r="J46" s="152"/>
      <c r="K46" s="154">
        <f t="shared" si="0"/>
        <v>10.3125</v>
      </c>
      <c r="L46" s="277">
        <f t="shared" si="2"/>
        <v>3.1432500047777405</v>
      </c>
      <c r="M46" s="278">
        <f t="shared" si="3"/>
        <v>272.33402009898714</v>
      </c>
      <c r="N46" s="1">
        <v>183</v>
      </c>
    </row>
    <row r="47" spans="2:14" x14ac:dyDescent="0.2">
      <c r="B47" s="149" t="s">
        <v>1590</v>
      </c>
      <c r="C47" s="150">
        <v>38.625</v>
      </c>
      <c r="D47" s="150">
        <v>0.625</v>
      </c>
      <c r="E47" s="150">
        <v>11.75</v>
      </c>
      <c r="F47" s="150">
        <v>1</v>
      </c>
      <c r="G47" s="151">
        <v>2.4375</v>
      </c>
      <c r="H47" s="150">
        <v>1.5625</v>
      </c>
      <c r="I47" s="152"/>
      <c r="J47" s="152"/>
      <c r="K47" s="154">
        <f t="shared" si="0"/>
        <v>10.25</v>
      </c>
      <c r="L47" s="278">
        <f t="shared" si="2"/>
        <v>3.1242000047487841</v>
      </c>
      <c r="M47" s="278">
        <f t="shared" si="3"/>
        <v>248.52339539087893</v>
      </c>
      <c r="N47" s="1">
        <v>167</v>
      </c>
    </row>
    <row r="48" spans="2:14" x14ac:dyDescent="0.2">
      <c r="B48" s="149" t="s">
        <v>1591</v>
      </c>
      <c r="C48" s="328">
        <v>38.25</v>
      </c>
      <c r="D48" s="328">
        <v>0.625</v>
      </c>
      <c r="E48" s="328">
        <v>11.75</v>
      </c>
      <c r="F48" s="328">
        <v>0.8125</v>
      </c>
      <c r="G48" s="329">
        <v>2.25</v>
      </c>
      <c r="H48" s="328">
        <v>1.5</v>
      </c>
      <c r="I48" s="330"/>
      <c r="J48" s="330"/>
      <c r="K48" s="331">
        <f t="shared" si="0"/>
        <v>10.1875</v>
      </c>
      <c r="L48" s="332">
        <f t="shared" si="2"/>
        <v>3.1051500047198286</v>
      </c>
      <c r="M48" s="278">
        <f t="shared" si="3"/>
        <v>221.73644259425726</v>
      </c>
      <c r="N48" s="1">
        <v>149</v>
      </c>
    </row>
    <row r="49" spans="2:14" x14ac:dyDescent="0.2">
      <c r="B49" s="312"/>
      <c r="C49" s="327"/>
      <c r="D49" s="80"/>
      <c r="E49" s="327"/>
      <c r="F49" s="327"/>
      <c r="G49" s="327"/>
      <c r="H49" s="327"/>
      <c r="I49" s="80"/>
      <c r="J49" s="80"/>
      <c r="K49" s="80"/>
      <c r="L49" s="324"/>
      <c r="M49" s="319"/>
      <c r="N49" s="1"/>
    </row>
    <row r="50" spans="2:14" x14ac:dyDescent="0.2">
      <c r="B50" s="149" t="s">
        <v>1602</v>
      </c>
      <c r="C50" s="150">
        <v>42.5</v>
      </c>
      <c r="D50" s="150">
        <v>2.5</v>
      </c>
      <c r="E50" s="150">
        <v>18.125</v>
      </c>
      <c r="F50" s="150">
        <v>4.5</v>
      </c>
      <c r="G50" s="151">
        <v>5.6875</v>
      </c>
      <c r="H50" s="150">
        <v>2.25</v>
      </c>
      <c r="I50" s="152"/>
      <c r="J50" s="152"/>
      <c r="K50" s="154">
        <f t="shared" si="0"/>
        <v>12.708333333333334</v>
      </c>
      <c r="L50" s="277">
        <f t="shared" si="2"/>
        <v>3.8735000058877209</v>
      </c>
      <c r="M50" s="278">
        <f t="shared" si="3"/>
        <v>1261.9631095297325</v>
      </c>
      <c r="N50" s="1">
        <v>848</v>
      </c>
    </row>
    <row r="51" spans="2:14" x14ac:dyDescent="0.2">
      <c r="B51" s="149" t="s">
        <v>1601</v>
      </c>
      <c r="C51" s="150">
        <v>42</v>
      </c>
      <c r="D51" s="150">
        <v>2.375</v>
      </c>
      <c r="E51" s="150">
        <v>18</v>
      </c>
      <c r="F51" s="150">
        <v>4.3125</v>
      </c>
      <c r="G51" s="151">
        <v>5.4375</v>
      </c>
      <c r="H51" s="150">
        <v>2.1875</v>
      </c>
      <c r="I51" s="152"/>
      <c r="J51" s="152"/>
      <c r="K51" s="154">
        <f t="shared" si="0"/>
        <v>12.604166666666666</v>
      </c>
      <c r="L51" s="278">
        <f t="shared" si="2"/>
        <v>3.8417500058394602</v>
      </c>
      <c r="M51" s="278">
        <f t="shared" si="3"/>
        <v>1187.5549073168945</v>
      </c>
      <c r="N51" s="1">
        <v>798</v>
      </c>
    </row>
    <row r="52" spans="2:14" x14ac:dyDescent="0.2">
      <c r="B52" s="149" t="s">
        <v>1600</v>
      </c>
      <c r="C52" s="150">
        <v>41.25</v>
      </c>
      <c r="D52" s="150">
        <v>2.1875</v>
      </c>
      <c r="E52" s="150">
        <v>17.75</v>
      </c>
      <c r="F52" s="150">
        <v>3.875</v>
      </c>
      <c r="G52" s="151">
        <v>5.0625</v>
      </c>
      <c r="H52" s="150">
        <v>2.0625</v>
      </c>
      <c r="I52" s="152"/>
      <c r="J52" s="152"/>
      <c r="K52" s="154">
        <f t="shared" si="0"/>
        <v>12.427083333333334</v>
      </c>
      <c r="L52" s="278">
        <f t="shared" si="2"/>
        <v>3.7877750057574184</v>
      </c>
      <c r="M52" s="278">
        <f t="shared" si="3"/>
        <v>1071.4781118648673</v>
      </c>
      <c r="N52" s="1">
        <v>720</v>
      </c>
    </row>
    <row r="53" spans="2:14" x14ac:dyDescent="0.2">
      <c r="B53" s="149" t="s">
        <v>1599</v>
      </c>
      <c r="C53" s="150">
        <v>40.5</v>
      </c>
      <c r="D53" s="150">
        <v>2</v>
      </c>
      <c r="E53" s="150">
        <v>17.625</v>
      </c>
      <c r="F53" s="150">
        <v>3.5625</v>
      </c>
      <c r="G53" s="151">
        <v>4.6875</v>
      </c>
      <c r="H53" s="150">
        <v>2</v>
      </c>
      <c r="I53" s="152"/>
      <c r="J53" s="152"/>
      <c r="K53" s="154">
        <f t="shared" si="0"/>
        <v>12.291666666666666</v>
      </c>
      <c r="L53" s="278">
        <f t="shared" si="2"/>
        <v>3.7465000056946804</v>
      </c>
      <c r="M53" s="278">
        <f t="shared" si="3"/>
        <v>967.30662876689405</v>
      </c>
      <c r="N53" s="1">
        <v>650</v>
      </c>
    </row>
    <row r="54" spans="2:14" x14ac:dyDescent="0.2">
      <c r="B54" s="149" t="s">
        <v>1598</v>
      </c>
      <c r="C54" s="150">
        <v>39.875</v>
      </c>
      <c r="D54" s="150">
        <v>1.8125</v>
      </c>
      <c r="E54" s="150">
        <v>17.375</v>
      </c>
      <c r="F54" s="150">
        <v>3.25</v>
      </c>
      <c r="G54" s="151">
        <v>4.375</v>
      </c>
      <c r="H54" s="150">
        <v>1.875</v>
      </c>
      <c r="I54" s="152"/>
      <c r="J54" s="152"/>
      <c r="K54" s="154">
        <f t="shared" si="0"/>
        <v>12.135416666666666</v>
      </c>
      <c r="L54" s="278">
        <f t="shared" si="2"/>
        <v>3.6988750056222903</v>
      </c>
      <c r="M54" s="278">
        <f t="shared" si="3"/>
        <v>875.04045802297503</v>
      </c>
      <c r="N54" s="1">
        <v>588</v>
      </c>
    </row>
    <row r="55" spans="2:14" x14ac:dyDescent="0.2">
      <c r="B55" s="149" t="s">
        <v>1597</v>
      </c>
      <c r="C55" s="150">
        <v>39.25</v>
      </c>
      <c r="D55" s="150">
        <v>1.625</v>
      </c>
      <c r="E55" s="150">
        <v>17.25</v>
      </c>
      <c r="F55" s="150">
        <v>2.9375</v>
      </c>
      <c r="G55" s="151">
        <v>4.0625</v>
      </c>
      <c r="H55" s="150">
        <v>1.75</v>
      </c>
      <c r="I55" s="152"/>
      <c r="J55" s="152"/>
      <c r="K55" s="154">
        <f t="shared" si="0"/>
        <v>12.020833333333334</v>
      </c>
      <c r="L55" s="278">
        <f t="shared" si="2"/>
        <v>3.6639500055692045</v>
      </c>
      <c r="M55" s="278">
        <f t="shared" si="3"/>
        <v>784.26245132331258</v>
      </c>
      <c r="N55" s="1">
        <v>527</v>
      </c>
    </row>
    <row r="56" spans="2:14" x14ac:dyDescent="0.2">
      <c r="B56" s="149" t="s">
        <v>1596</v>
      </c>
      <c r="C56" s="150">
        <v>38.75</v>
      </c>
      <c r="D56" s="150">
        <v>1.5</v>
      </c>
      <c r="E56" s="150">
        <v>17.125</v>
      </c>
      <c r="F56" s="150">
        <v>2.6875</v>
      </c>
      <c r="G56" s="151">
        <v>3.8125</v>
      </c>
      <c r="H56" s="150">
        <v>1.75</v>
      </c>
      <c r="I56" s="152"/>
      <c r="J56" s="152"/>
      <c r="K56" s="154">
        <f t="shared" si="0"/>
        <v>11.916666666666666</v>
      </c>
      <c r="L56" s="278">
        <f t="shared" si="2"/>
        <v>3.6322000055209442</v>
      </c>
      <c r="M56" s="278">
        <f t="shared" si="3"/>
        <v>721.75956146452859</v>
      </c>
      <c r="N56" s="1">
        <v>485</v>
      </c>
    </row>
    <row r="57" spans="2:14" x14ac:dyDescent="0.2">
      <c r="B57" s="149" t="s">
        <v>1595</v>
      </c>
      <c r="C57" s="150">
        <v>38.25</v>
      </c>
      <c r="D57" s="150">
        <v>1.375</v>
      </c>
      <c r="E57" s="150">
        <v>17</v>
      </c>
      <c r="F57" s="150">
        <v>2.4375</v>
      </c>
      <c r="G57" s="151">
        <v>3.5625</v>
      </c>
      <c r="H57" s="150">
        <v>1.625</v>
      </c>
      <c r="I57" s="152"/>
      <c r="J57" s="152"/>
      <c r="K57" s="154">
        <f t="shared" si="0"/>
        <v>11.8125</v>
      </c>
      <c r="L57" s="278">
        <f t="shared" si="2"/>
        <v>3.6004500054726845</v>
      </c>
      <c r="M57" s="278">
        <f t="shared" si="3"/>
        <v>653.30401542871766</v>
      </c>
      <c r="N57" s="1">
        <v>439</v>
      </c>
    </row>
    <row r="58" spans="2:14" x14ac:dyDescent="0.2">
      <c r="B58" s="138" t="s">
        <v>1594</v>
      </c>
      <c r="C58" s="140">
        <v>37.75</v>
      </c>
      <c r="D58" s="140">
        <v>1.25</v>
      </c>
      <c r="E58" s="140">
        <v>16.875</v>
      </c>
      <c r="F58" s="140">
        <v>2.1875</v>
      </c>
      <c r="G58" s="142">
        <v>3.3125</v>
      </c>
      <c r="H58" s="140">
        <v>1.625</v>
      </c>
      <c r="I58" s="129"/>
      <c r="J58" s="129"/>
      <c r="K58" s="123">
        <f t="shared" si="0"/>
        <v>11.708333333333334</v>
      </c>
      <c r="L58" s="279">
        <f t="shared" si="2"/>
        <v>3.5687000054244247</v>
      </c>
      <c r="M58" s="279">
        <f t="shared" si="3"/>
        <v>584.84846939290674</v>
      </c>
      <c r="N58" s="1">
        <v>393</v>
      </c>
    </row>
    <row r="59" spans="2:14" x14ac:dyDescent="0.2">
      <c r="B59" s="138" t="s">
        <v>1593</v>
      </c>
      <c r="C59" s="140">
        <v>37.375</v>
      </c>
      <c r="D59" s="140">
        <v>1.125</v>
      </c>
      <c r="E59" s="140">
        <v>16.75</v>
      </c>
      <c r="F59" s="140">
        <v>2</v>
      </c>
      <c r="G59" s="142">
        <v>3.125</v>
      </c>
      <c r="H59" s="140">
        <v>1.5625</v>
      </c>
      <c r="I59" s="129"/>
      <c r="J59" s="129"/>
      <c r="K59" s="123">
        <f t="shared" si="0"/>
        <v>11.625</v>
      </c>
      <c r="L59" s="279">
        <f t="shared" si="2"/>
        <v>3.5433000053858161</v>
      </c>
      <c r="M59" s="279">
        <f t="shared" si="3"/>
        <v>534.25089188817685</v>
      </c>
      <c r="N59" s="1">
        <v>359</v>
      </c>
    </row>
    <row r="60" spans="2:14" x14ac:dyDescent="0.2">
      <c r="B60" s="139" t="s">
        <v>1592</v>
      </c>
      <c r="C60" s="141">
        <v>37.125</v>
      </c>
      <c r="D60" s="141">
        <v>1</v>
      </c>
      <c r="E60" s="141">
        <v>16.625</v>
      </c>
      <c r="F60" s="141">
        <v>1.875</v>
      </c>
      <c r="G60" s="143">
        <v>3</v>
      </c>
      <c r="H60" s="141">
        <v>1.5</v>
      </c>
      <c r="I60" s="130"/>
      <c r="J60" s="130"/>
      <c r="K60" s="123">
        <f t="shared" si="0"/>
        <v>11.5625</v>
      </c>
      <c r="L60" s="279">
        <f t="shared" si="2"/>
        <v>3.5242500053568606</v>
      </c>
      <c r="M60" s="279">
        <f t="shared" si="3"/>
        <v>488.11780651621729</v>
      </c>
      <c r="N60" s="1">
        <v>328</v>
      </c>
    </row>
    <row r="61" spans="2:14" x14ac:dyDescent="0.2">
      <c r="B61" s="131" t="s">
        <v>898</v>
      </c>
      <c r="C61" s="132">
        <v>36.75</v>
      </c>
      <c r="D61" s="153">
        <v>0.9375</v>
      </c>
      <c r="E61" s="134">
        <v>16.625</v>
      </c>
      <c r="F61" s="133">
        <v>1.6875</v>
      </c>
      <c r="G61" s="133">
        <v>2.8125</v>
      </c>
      <c r="H61" s="133">
        <v>1.5</v>
      </c>
      <c r="I61" s="134">
        <v>5.5</v>
      </c>
      <c r="J61" s="135">
        <v>3.75</v>
      </c>
      <c r="K61" s="123">
        <f t="shared" ref="K61:K86" si="4">((C61-(F61*2))*2+(E61*4)+(F61*4)-(D61*2))*12/144</f>
        <v>11.510416666666666</v>
      </c>
      <c r="L61" s="279">
        <f t="shared" si="2"/>
        <v>3.5083750053327303</v>
      </c>
      <c r="M61" s="279">
        <f t="shared" si="3"/>
        <v>446.44921327702804</v>
      </c>
      <c r="N61" s="1">
        <v>300</v>
      </c>
    </row>
    <row r="62" spans="2:14" x14ac:dyDescent="0.2">
      <c r="B62" s="18" t="s">
        <v>900</v>
      </c>
      <c r="C62" s="20">
        <v>36.5</v>
      </c>
      <c r="D62" s="143">
        <v>0.875</v>
      </c>
      <c r="E62" s="20">
        <v>16.625</v>
      </c>
      <c r="F62" s="19">
        <v>1.5625</v>
      </c>
      <c r="G62" s="19">
        <v>2.6875</v>
      </c>
      <c r="H62" s="19">
        <v>1.5</v>
      </c>
      <c r="I62" s="20">
        <v>5.5</v>
      </c>
      <c r="J62" s="19">
        <v>3.75</v>
      </c>
      <c r="K62" s="136">
        <f t="shared" si="4"/>
        <v>11.479166666666666</v>
      </c>
      <c r="L62" s="279">
        <f t="shared" si="2"/>
        <v>3.4988500053182521</v>
      </c>
      <c r="M62" s="279">
        <f t="shared" si="3"/>
        <v>416.68593239189283</v>
      </c>
      <c r="N62" s="1">
        <v>280</v>
      </c>
    </row>
    <row r="63" spans="2:14" x14ac:dyDescent="0.2">
      <c r="B63" s="131" t="s">
        <v>901</v>
      </c>
      <c r="C63" s="134">
        <v>36.25</v>
      </c>
      <c r="D63" s="153">
        <v>0.81200000000000006</v>
      </c>
      <c r="E63" s="134">
        <v>16.5</v>
      </c>
      <c r="F63" s="133">
        <v>1.4375</v>
      </c>
      <c r="G63" s="133">
        <v>2.5625</v>
      </c>
      <c r="H63" s="133">
        <v>1.5</v>
      </c>
      <c r="I63" s="134">
        <v>5.5</v>
      </c>
      <c r="J63" s="133">
        <v>3.5</v>
      </c>
      <c r="K63" s="123">
        <f t="shared" si="4"/>
        <v>11.406333333333334</v>
      </c>
      <c r="L63" s="279">
        <f t="shared" si="2"/>
        <v>3.4766504052845093</v>
      </c>
      <c r="M63" s="279">
        <f t="shared" si="3"/>
        <v>386.92265150675763</v>
      </c>
      <c r="N63" s="1">
        <v>260</v>
      </c>
    </row>
    <row r="64" spans="2:14" x14ac:dyDescent="0.2">
      <c r="B64" s="18" t="s">
        <v>902</v>
      </c>
      <c r="C64" s="20">
        <v>36.125</v>
      </c>
      <c r="D64" s="143">
        <v>0.8125</v>
      </c>
      <c r="E64" s="20">
        <v>16.5</v>
      </c>
      <c r="F64" s="19">
        <v>1.375</v>
      </c>
      <c r="G64" s="19">
        <v>2.5</v>
      </c>
      <c r="H64" s="19">
        <v>1.4375</v>
      </c>
      <c r="I64" s="20">
        <v>5.5</v>
      </c>
      <c r="J64" s="19">
        <v>3.5</v>
      </c>
      <c r="K64" s="136">
        <f t="shared" si="4"/>
        <v>11.385416666666666</v>
      </c>
      <c r="L64" s="279">
        <f t="shared" si="2"/>
        <v>3.4702750052748184</v>
      </c>
      <c r="M64" s="279">
        <f t="shared" si="3"/>
        <v>364.60019084290622</v>
      </c>
      <c r="N64" s="1">
        <v>245</v>
      </c>
    </row>
    <row r="65" spans="2:14" x14ac:dyDescent="0.2">
      <c r="B65" s="18" t="s">
        <v>903</v>
      </c>
      <c r="C65" s="22">
        <v>35.875</v>
      </c>
      <c r="D65" s="326">
        <v>0.75</v>
      </c>
      <c r="E65" s="22">
        <v>16.5</v>
      </c>
      <c r="F65" s="21">
        <v>1.25</v>
      </c>
      <c r="G65" s="21">
        <v>2.375</v>
      </c>
      <c r="H65" s="21">
        <v>1.4375</v>
      </c>
      <c r="I65" s="22">
        <v>5.5</v>
      </c>
      <c r="J65" s="21">
        <v>3.5</v>
      </c>
      <c r="K65" s="325">
        <f t="shared" si="4"/>
        <v>11.354166666666666</v>
      </c>
      <c r="L65" s="321">
        <f t="shared" si="2"/>
        <v>3.4607500052603402</v>
      </c>
      <c r="M65" s="279">
        <f t="shared" si="3"/>
        <v>342.27773017905486</v>
      </c>
      <c r="N65" s="1">
        <v>230</v>
      </c>
    </row>
    <row r="66" spans="2:14" x14ac:dyDescent="0.2">
      <c r="B66" s="314"/>
      <c r="C66" s="322"/>
      <c r="D66" s="327"/>
      <c r="E66" s="322"/>
      <c r="F66" s="322"/>
      <c r="G66" s="322"/>
      <c r="H66" s="322"/>
      <c r="I66" s="322"/>
      <c r="J66" s="322"/>
      <c r="K66" s="323"/>
      <c r="L66" s="324"/>
      <c r="M66" s="319"/>
      <c r="N66" s="1"/>
    </row>
    <row r="67" spans="2:14" x14ac:dyDescent="0.2">
      <c r="B67" s="18" t="s">
        <v>1698</v>
      </c>
      <c r="C67" s="160">
        <v>37.375</v>
      </c>
      <c r="D67" s="142">
        <v>1</v>
      </c>
      <c r="E67" s="160">
        <v>12.25</v>
      </c>
      <c r="F67" s="135">
        <v>1.75</v>
      </c>
      <c r="G67" s="135">
        <v>2.625</v>
      </c>
      <c r="H67" s="135">
        <v>1.3125</v>
      </c>
      <c r="I67" s="160">
        <v>5.5</v>
      </c>
      <c r="J67" s="135"/>
      <c r="K67" s="123">
        <f t="shared" si="4"/>
        <v>10.145833333333334</v>
      </c>
      <c r="L67" s="281">
        <f t="shared" si="2"/>
        <v>3.0924500047005243</v>
      </c>
      <c r="M67" s="279">
        <f t="shared" si="3"/>
        <v>380.96999532973058</v>
      </c>
      <c r="N67" s="1">
        <v>256</v>
      </c>
    </row>
    <row r="68" spans="2:14" x14ac:dyDescent="0.2">
      <c r="B68" s="131" t="s">
        <v>1699</v>
      </c>
      <c r="C68" s="134">
        <v>37.125</v>
      </c>
      <c r="D68" s="153">
        <v>0.875</v>
      </c>
      <c r="E68" s="134">
        <v>12.125</v>
      </c>
      <c r="F68" s="133">
        <v>1.5625</v>
      </c>
      <c r="G68" s="133">
        <v>2.5</v>
      </c>
      <c r="H68" s="133">
        <v>1.25</v>
      </c>
      <c r="I68" s="20">
        <v>5.5</v>
      </c>
      <c r="J68" s="19"/>
      <c r="K68" s="136">
        <f t="shared" si="4"/>
        <v>10.083333333333334</v>
      </c>
      <c r="L68" s="279">
        <f t="shared" si="2"/>
        <v>3.0734000046715688</v>
      </c>
      <c r="M68" s="279">
        <f t="shared" si="3"/>
        <v>345.25405826756833</v>
      </c>
      <c r="N68" s="1">
        <v>232</v>
      </c>
    </row>
    <row r="69" spans="2:14" x14ac:dyDescent="0.2">
      <c r="B69" s="18" t="s">
        <v>911</v>
      </c>
      <c r="C69" s="20">
        <v>36.75</v>
      </c>
      <c r="D69" s="143">
        <v>0.8125</v>
      </c>
      <c r="E69" s="20">
        <v>12.125</v>
      </c>
      <c r="F69" s="19">
        <v>1.375</v>
      </c>
      <c r="G69" s="19">
        <v>2.3125</v>
      </c>
      <c r="H69" s="19">
        <v>1.25</v>
      </c>
      <c r="I69" s="20">
        <v>5.5</v>
      </c>
      <c r="J69" s="19">
        <v>3.5</v>
      </c>
      <c r="K69" s="136">
        <f t="shared" si="4"/>
        <v>10.03125</v>
      </c>
      <c r="L69" s="279">
        <f t="shared" si="2"/>
        <v>3.0575250046474385</v>
      </c>
      <c r="M69" s="279">
        <f t="shared" si="3"/>
        <v>312.51444929391965</v>
      </c>
      <c r="N69" s="1">
        <v>210</v>
      </c>
    </row>
    <row r="70" spans="2:14" x14ac:dyDescent="0.2">
      <c r="B70" s="131" t="s">
        <v>912</v>
      </c>
      <c r="C70" s="134">
        <v>36.5</v>
      </c>
      <c r="D70" s="133">
        <v>0.75</v>
      </c>
      <c r="E70" s="134">
        <v>12.125</v>
      </c>
      <c r="F70" s="133">
        <v>1.25</v>
      </c>
      <c r="G70" s="133">
        <v>2.1875</v>
      </c>
      <c r="H70" s="133">
        <v>1.1875</v>
      </c>
      <c r="I70" s="134">
        <v>5.5</v>
      </c>
      <c r="J70" s="133">
        <v>3.5</v>
      </c>
      <c r="K70" s="123">
        <f t="shared" si="4"/>
        <v>10</v>
      </c>
      <c r="L70" s="279">
        <f t="shared" si="2"/>
        <v>3.0480000046329603</v>
      </c>
      <c r="M70" s="279">
        <f t="shared" si="3"/>
        <v>288.70382458581145</v>
      </c>
      <c r="N70" s="1">
        <v>194</v>
      </c>
    </row>
    <row r="71" spans="2:14" x14ac:dyDescent="0.2">
      <c r="B71" s="18" t="s">
        <v>913</v>
      </c>
      <c r="C71" s="20">
        <v>36.375</v>
      </c>
      <c r="D71" s="19">
        <v>0.75</v>
      </c>
      <c r="E71" s="20">
        <v>12.125</v>
      </c>
      <c r="F71" s="19">
        <v>1.1875</v>
      </c>
      <c r="G71" s="19">
        <v>2.125</v>
      </c>
      <c r="H71" s="19">
        <v>1.1875</v>
      </c>
      <c r="I71" s="20">
        <v>5.5</v>
      </c>
      <c r="J71" s="19">
        <v>3.25</v>
      </c>
      <c r="K71" s="136">
        <f t="shared" si="4"/>
        <v>9.9791666666666661</v>
      </c>
      <c r="L71" s="279">
        <f t="shared" si="2"/>
        <v>3.0416500046233081</v>
      </c>
      <c r="M71" s="279">
        <f t="shared" si="3"/>
        <v>270.84585605473035</v>
      </c>
      <c r="N71" s="1">
        <v>182</v>
      </c>
    </row>
    <row r="72" spans="2:14" x14ac:dyDescent="0.2">
      <c r="B72" s="131" t="s">
        <v>914</v>
      </c>
      <c r="C72" s="134">
        <v>36.125</v>
      </c>
      <c r="D72" s="133">
        <v>0.6875</v>
      </c>
      <c r="E72" s="134">
        <v>12</v>
      </c>
      <c r="F72" s="133">
        <v>1.125</v>
      </c>
      <c r="G72" s="133">
        <v>2</v>
      </c>
      <c r="H72" s="133">
        <v>1.1875</v>
      </c>
      <c r="I72" s="134">
        <v>5.5</v>
      </c>
      <c r="J72" s="133">
        <v>3.25</v>
      </c>
      <c r="K72" s="123">
        <f t="shared" si="4"/>
        <v>9.90625</v>
      </c>
      <c r="L72" s="279">
        <f t="shared" si="2"/>
        <v>3.0194250045895266</v>
      </c>
      <c r="M72" s="279">
        <f t="shared" si="3"/>
        <v>252.98788752364922</v>
      </c>
      <c r="N72" s="1">
        <v>170</v>
      </c>
    </row>
    <row r="73" spans="2:14" x14ac:dyDescent="0.2">
      <c r="B73" s="18" t="s">
        <v>915</v>
      </c>
      <c r="C73" s="20">
        <v>36</v>
      </c>
      <c r="D73" s="19">
        <v>0.625</v>
      </c>
      <c r="E73" s="20">
        <v>12</v>
      </c>
      <c r="F73" s="19">
        <v>1</v>
      </c>
      <c r="G73" s="19">
        <v>1.9375</v>
      </c>
      <c r="H73" s="19">
        <v>1.125</v>
      </c>
      <c r="I73" s="20">
        <v>5.5</v>
      </c>
      <c r="J73" s="19">
        <v>3.25</v>
      </c>
      <c r="K73" s="136">
        <f t="shared" si="4"/>
        <v>9.8958333333333339</v>
      </c>
      <c r="L73" s="279">
        <f t="shared" si="2"/>
        <v>3.0162500045847005</v>
      </c>
      <c r="M73" s="279">
        <f t="shared" si="3"/>
        <v>238.10624708108162</v>
      </c>
      <c r="N73" s="1">
        <v>160</v>
      </c>
    </row>
    <row r="74" spans="2:14" x14ac:dyDescent="0.2">
      <c r="B74" s="131" t="s">
        <v>916</v>
      </c>
      <c r="C74" s="134">
        <v>35.875</v>
      </c>
      <c r="D74" s="133">
        <v>0.625</v>
      </c>
      <c r="E74" s="134">
        <v>12</v>
      </c>
      <c r="F74" s="133">
        <v>0.9375</v>
      </c>
      <c r="G74" s="133">
        <v>1.875</v>
      </c>
      <c r="H74" s="133">
        <v>1.125</v>
      </c>
      <c r="I74" s="134">
        <v>5.5</v>
      </c>
      <c r="J74" s="133">
        <v>3</v>
      </c>
      <c r="K74" s="123">
        <f t="shared" si="4"/>
        <v>9.875</v>
      </c>
      <c r="L74" s="279">
        <f t="shared" si="2"/>
        <v>3.0099000045750484</v>
      </c>
      <c r="M74" s="279">
        <f t="shared" si="3"/>
        <v>223.22460663851402</v>
      </c>
      <c r="N74" s="1">
        <v>150</v>
      </c>
    </row>
    <row r="75" spans="2:14" x14ac:dyDescent="0.2">
      <c r="B75" s="18" t="s">
        <v>917</v>
      </c>
      <c r="C75" s="22">
        <v>35.5</v>
      </c>
      <c r="D75" s="21">
        <v>0.625</v>
      </c>
      <c r="E75" s="22">
        <v>12</v>
      </c>
      <c r="F75" s="21">
        <v>0.8125</v>
      </c>
      <c r="G75" s="21">
        <v>1.6875</v>
      </c>
      <c r="H75" s="21">
        <v>1.125</v>
      </c>
      <c r="I75" s="22">
        <v>5.5</v>
      </c>
      <c r="J75" s="21">
        <v>3</v>
      </c>
      <c r="K75" s="325">
        <f t="shared" si="4"/>
        <v>9.8125</v>
      </c>
      <c r="L75" s="321">
        <f t="shared" si="2"/>
        <v>2.9908500045460924</v>
      </c>
      <c r="M75" s="279">
        <f t="shared" si="3"/>
        <v>200.9021459746626</v>
      </c>
      <c r="N75" s="1">
        <v>135</v>
      </c>
    </row>
    <row r="76" spans="2:14" x14ac:dyDescent="0.2">
      <c r="B76" s="314"/>
      <c r="C76" s="322"/>
      <c r="D76" s="322"/>
      <c r="E76" s="322"/>
      <c r="F76" s="322"/>
      <c r="G76" s="322"/>
      <c r="H76" s="322"/>
      <c r="I76" s="322"/>
      <c r="J76" s="322"/>
      <c r="K76" s="323"/>
      <c r="L76" s="324"/>
      <c r="M76" s="319"/>
      <c r="N76" s="1"/>
    </row>
    <row r="77" spans="2:14" x14ac:dyDescent="0.2">
      <c r="B77" s="155" t="s">
        <v>1612</v>
      </c>
      <c r="C77" s="162">
        <v>38.5</v>
      </c>
      <c r="D77" s="163">
        <v>2</v>
      </c>
      <c r="E77" s="162">
        <v>16.875</v>
      </c>
      <c r="F77" s="163">
        <v>3.5625</v>
      </c>
      <c r="G77" s="163">
        <v>4.375</v>
      </c>
      <c r="H77" s="163">
        <v>1.75</v>
      </c>
      <c r="I77" s="162"/>
      <c r="J77" s="163"/>
      <c r="K77" s="154">
        <f t="shared" si="4"/>
        <v>11.708333333333334</v>
      </c>
      <c r="L77" s="277">
        <f t="shared" si="2"/>
        <v>3.5687000054244247</v>
      </c>
      <c r="M77" s="278">
        <f t="shared" si="3"/>
        <v>921.17354339493443</v>
      </c>
      <c r="N77" s="1">
        <v>619</v>
      </c>
    </row>
    <row r="78" spans="2:14" x14ac:dyDescent="0.2">
      <c r="B78" s="155" t="s">
        <v>1611</v>
      </c>
      <c r="C78" s="156">
        <v>37.875</v>
      </c>
      <c r="D78" s="157">
        <v>1.8125</v>
      </c>
      <c r="E78" s="156">
        <v>16.75</v>
      </c>
      <c r="F78" s="157">
        <v>3.25</v>
      </c>
      <c r="G78" s="157">
        <v>4.0625</v>
      </c>
      <c r="H78" s="157">
        <v>1.6875</v>
      </c>
      <c r="I78" s="156"/>
      <c r="J78" s="157"/>
      <c r="K78" s="158">
        <f t="shared" si="4"/>
        <v>11.59375</v>
      </c>
      <c r="L78" s="278">
        <f t="shared" si="2"/>
        <v>3.5337750053713388</v>
      </c>
      <c r="M78" s="278">
        <f t="shared" si="3"/>
        <v>843.78901309358298</v>
      </c>
      <c r="N78" s="1">
        <v>567</v>
      </c>
    </row>
    <row r="79" spans="2:14" x14ac:dyDescent="0.2">
      <c r="B79" s="155" t="s">
        <v>1610</v>
      </c>
      <c r="C79" s="156">
        <v>37.375</v>
      </c>
      <c r="D79" s="157">
        <v>1.625</v>
      </c>
      <c r="E79" s="156">
        <v>16.625</v>
      </c>
      <c r="F79" s="157">
        <v>3</v>
      </c>
      <c r="G79" s="157">
        <v>3.8119999999999998</v>
      </c>
      <c r="H79" s="157">
        <v>1.625</v>
      </c>
      <c r="I79" s="156"/>
      <c r="J79" s="157"/>
      <c r="K79" s="158">
        <f t="shared" si="4"/>
        <v>11.5</v>
      </c>
      <c r="L79" s="278">
        <f t="shared" si="2"/>
        <v>3.5052000053279042</v>
      </c>
      <c r="M79" s="278">
        <f t="shared" si="3"/>
        <v>766.40448279223142</v>
      </c>
      <c r="N79" s="1">
        <v>515</v>
      </c>
    </row>
    <row r="80" spans="2:14" x14ac:dyDescent="0.2">
      <c r="B80" s="155" t="s">
        <v>1609</v>
      </c>
      <c r="C80" s="156">
        <v>36.75</v>
      </c>
      <c r="D80" s="157">
        <v>1.5</v>
      </c>
      <c r="E80" s="156">
        <v>16.5</v>
      </c>
      <c r="F80" s="157">
        <v>2.75</v>
      </c>
      <c r="G80" s="157">
        <v>3.5</v>
      </c>
      <c r="H80" s="157">
        <v>1.5625</v>
      </c>
      <c r="I80" s="156"/>
      <c r="J80" s="157"/>
      <c r="K80" s="158">
        <f t="shared" si="4"/>
        <v>11.375</v>
      </c>
      <c r="L80" s="278">
        <f t="shared" si="2"/>
        <v>3.4671000052699923</v>
      </c>
      <c r="M80" s="278">
        <f t="shared" si="3"/>
        <v>696.4607727121637</v>
      </c>
      <c r="N80" s="1">
        <v>468</v>
      </c>
    </row>
    <row r="81" spans="2:14" x14ac:dyDescent="0.2">
      <c r="B81" s="155" t="s">
        <v>1608</v>
      </c>
      <c r="C81" s="156">
        <v>36.375</v>
      </c>
      <c r="D81" s="157">
        <v>1.375</v>
      </c>
      <c r="E81" s="156">
        <v>16.375</v>
      </c>
      <c r="F81" s="157">
        <v>2.5</v>
      </c>
      <c r="G81" s="157">
        <v>3.3125</v>
      </c>
      <c r="H81" s="157">
        <v>1.4375</v>
      </c>
      <c r="I81" s="156"/>
      <c r="J81" s="157"/>
      <c r="K81" s="158">
        <f t="shared" si="4"/>
        <v>11.291666666666666</v>
      </c>
      <c r="L81" s="278">
        <f t="shared" si="2"/>
        <v>3.4417000052313842</v>
      </c>
      <c r="M81" s="278">
        <f t="shared" si="3"/>
        <v>630.98155476486625</v>
      </c>
      <c r="N81" s="1">
        <v>424</v>
      </c>
    </row>
    <row r="82" spans="2:14" x14ac:dyDescent="0.2">
      <c r="B82" s="155" t="s">
        <v>1607</v>
      </c>
      <c r="C82" s="156">
        <v>36</v>
      </c>
      <c r="D82" s="157">
        <v>1.25</v>
      </c>
      <c r="E82" s="156">
        <v>16.25</v>
      </c>
      <c r="F82" s="157">
        <v>2.25</v>
      </c>
      <c r="G82" s="157">
        <v>3.125</v>
      </c>
      <c r="H82" s="157">
        <v>1.375</v>
      </c>
      <c r="I82" s="156"/>
      <c r="J82" s="157"/>
      <c r="K82" s="158">
        <f t="shared" si="4"/>
        <v>11.208333333333334</v>
      </c>
      <c r="L82" s="278">
        <f t="shared" si="2"/>
        <v>3.4163000051927761</v>
      </c>
      <c r="M82" s="278">
        <f t="shared" si="3"/>
        <v>575.9194851273661</v>
      </c>
      <c r="N82" s="1">
        <v>387</v>
      </c>
    </row>
    <row r="83" spans="2:14" x14ac:dyDescent="0.2">
      <c r="B83" s="18" t="s">
        <v>1606</v>
      </c>
      <c r="C83" s="20">
        <v>35.5</v>
      </c>
      <c r="D83" s="19">
        <v>1.1875</v>
      </c>
      <c r="E83" s="20">
        <v>16.125</v>
      </c>
      <c r="F83" s="19">
        <v>2.0625</v>
      </c>
      <c r="G83" s="19">
        <v>2.875</v>
      </c>
      <c r="H83" s="19">
        <v>1.375</v>
      </c>
      <c r="I83" s="20"/>
      <c r="J83" s="19"/>
      <c r="K83" s="136">
        <f t="shared" si="4"/>
        <v>11.09375</v>
      </c>
      <c r="L83" s="279">
        <f t="shared" si="2"/>
        <v>3.3813750051396902</v>
      </c>
      <c r="M83" s="279">
        <f t="shared" si="3"/>
        <v>526.81007166689301</v>
      </c>
      <c r="N83" s="1">
        <v>354</v>
      </c>
    </row>
    <row r="84" spans="2:14" x14ac:dyDescent="0.2">
      <c r="B84" s="18" t="s">
        <v>1605</v>
      </c>
      <c r="C84" s="20">
        <v>35.125</v>
      </c>
      <c r="D84" s="19">
        <v>1.0625</v>
      </c>
      <c r="E84" s="20">
        <v>16</v>
      </c>
      <c r="F84" s="19">
        <v>1.875</v>
      </c>
      <c r="G84" s="19">
        <v>2.6875</v>
      </c>
      <c r="H84" s="19">
        <v>1.3125</v>
      </c>
      <c r="I84" s="20"/>
      <c r="J84" s="19"/>
      <c r="K84" s="136">
        <f t="shared" si="4"/>
        <v>11.010416666666666</v>
      </c>
      <c r="L84" s="279">
        <f t="shared" si="2"/>
        <v>3.3559750051010822</v>
      </c>
      <c r="M84" s="279">
        <f t="shared" si="3"/>
        <v>473.23616607364966</v>
      </c>
      <c r="N84" s="1">
        <v>318</v>
      </c>
    </row>
    <row r="85" spans="2:14" x14ac:dyDescent="0.2">
      <c r="B85" s="18" t="s">
        <v>1604</v>
      </c>
      <c r="C85" s="20">
        <v>34.875</v>
      </c>
      <c r="D85" s="19">
        <v>1</v>
      </c>
      <c r="E85" s="20">
        <v>15.875</v>
      </c>
      <c r="F85" s="19">
        <v>1.75</v>
      </c>
      <c r="G85" s="19">
        <v>2.5625</v>
      </c>
      <c r="H85" s="19">
        <v>1.25</v>
      </c>
      <c r="I85" s="20"/>
      <c r="J85" s="19"/>
      <c r="K85" s="136">
        <f t="shared" si="4"/>
        <v>10.9375</v>
      </c>
      <c r="L85" s="279">
        <f t="shared" si="2"/>
        <v>3.3337500050673006</v>
      </c>
      <c r="M85" s="279">
        <f t="shared" si="3"/>
        <v>433.0557368787172</v>
      </c>
      <c r="N85" s="1">
        <v>291</v>
      </c>
    </row>
    <row r="86" spans="2:14" x14ac:dyDescent="0.2">
      <c r="B86" s="131" t="s">
        <v>1603</v>
      </c>
      <c r="C86" s="134">
        <v>34.5</v>
      </c>
      <c r="D86" s="133">
        <v>0.875</v>
      </c>
      <c r="E86" s="134">
        <v>15.75</v>
      </c>
      <c r="F86" s="133">
        <v>1.5625</v>
      </c>
      <c r="G86" s="133">
        <v>2.375</v>
      </c>
      <c r="H86" s="133">
        <v>1.1875</v>
      </c>
      <c r="I86" s="134" t="s">
        <v>899</v>
      </c>
      <c r="J86" s="133" t="s">
        <v>899</v>
      </c>
      <c r="K86" s="136">
        <f t="shared" si="4"/>
        <v>10.854166666666666</v>
      </c>
      <c r="L86" s="279">
        <f t="shared" si="2"/>
        <v>3.308350005028692</v>
      </c>
      <c r="M86" s="279">
        <f t="shared" si="3"/>
        <v>391.38714363952789</v>
      </c>
      <c r="N86" s="1">
        <v>263</v>
      </c>
    </row>
    <row r="87" spans="2:14" x14ac:dyDescent="0.2">
      <c r="B87" s="18" t="s">
        <v>918</v>
      </c>
      <c r="C87" s="20">
        <v>34.125</v>
      </c>
      <c r="D87" s="19">
        <v>0.8125</v>
      </c>
      <c r="E87" s="20">
        <v>15.875</v>
      </c>
      <c r="F87" s="19">
        <v>1.375</v>
      </c>
      <c r="G87" s="19">
        <v>2.1875</v>
      </c>
      <c r="H87" s="19">
        <v>1.1875</v>
      </c>
      <c r="I87" s="20">
        <v>5.5</v>
      </c>
      <c r="J87" s="19">
        <v>3.5</v>
      </c>
      <c r="K87" s="136">
        <f t="shared" ref="K87:K106" si="5">((C87-(F87*2))*2+(E87*4)+(F87*4)-(D87*2))*12/144</f>
        <v>10.84375</v>
      </c>
      <c r="L87" s="279">
        <f t="shared" si="2"/>
        <v>3.3051750050238669</v>
      </c>
      <c r="M87" s="279">
        <f t="shared" si="3"/>
        <v>358.64753466587916</v>
      </c>
      <c r="N87" s="1">
        <v>241</v>
      </c>
    </row>
    <row r="88" spans="2:14" x14ac:dyDescent="0.2">
      <c r="B88" s="131" t="s">
        <v>919</v>
      </c>
      <c r="C88" s="134">
        <v>33.875</v>
      </c>
      <c r="D88" s="133">
        <v>0.75</v>
      </c>
      <c r="E88" s="134">
        <v>15.75</v>
      </c>
      <c r="F88" s="133">
        <v>1.25</v>
      </c>
      <c r="G88" s="133">
        <v>2.0625</v>
      </c>
      <c r="H88" s="133">
        <v>1.1875</v>
      </c>
      <c r="I88" s="134">
        <v>5.5</v>
      </c>
      <c r="J88" s="133">
        <v>3.5</v>
      </c>
      <c r="K88" s="123">
        <f t="shared" si="5"/>
        <v>10.770833333333334</v>
      </c>
      <c r="L88" s="279">
        <f t="shared" si="2"/>
        <v>3.2829500049900844</v>
      </c>
      <c r="M88" s="279">
        <f t="shared" si="3"/>
        <v>328.88425378074396</v>
      </c>
      <c r="N88" s="1">
        <v>221</v>
      </c>
    </row>
    <row r="89" spans="2:14" x14ac:dyDescent="0.2">
      <c r="B89" s="18" t="s">
        <v>920</v>
      </c>
      <c r="C89" s="22">
        <v>33.625</v>
      </c>
      <c r="D89" s="21">
        <v>0.6875</v>
      </c>
      <c r="E89" s="22">
        <v>15.75</v>
      </c>
      <c r="F89" s="21">
        <v>1.125</v>
      </c>
      <c r="G89" s="21">
        <v>1.9375</v>
      </c>
      <c r="H89" s="21">
        <v>1.125</v>
      </c>
      <c r="I89" s="22">
        <v>5.5</v>
      </c>
      <c r="J89" s="21">
        <v>3.25</v>
      </c>
      <c r="K89" s="325">
        <f t="shared" si="5"/>
        <v>10.739583333333334</v>
      </c>
      <c r="L89" s="321">
        <f t="shared" si="2"/>
        <v>3.2734250049756062</v>
      </c>
      <c r="M89" s="279">
        <f t="shared" si="3"/>
        <v>299.12097289560876</v>
      </c>
      <c r="N89" s="1">
        <v>201</v>
      </c>
    </row>
    <row r="90" spans="2:14" x14ac:dyDescent="0.2">
      <c r="B90" s="314"/>
      <c r="C90" s="322"/>
      <c r="D90" s="322"/>
      <c r="E90" s="322"/>
      <c r="F90" s="322"/>
      <c r="G90" s="322"/>
      <c r="H90" s="322"/>
      <c r="I90" s="322"/>
      <c r="J90" s="322"/>
      <c r="K90" s="323"/>
      <c r="L90" s="324"/>
      <c r="M90" s="319"/>
      <c r="N90" s="1"/>
    </row>
    <row r="91" spans="2:14" x14ac:dyDescent="0.2">
      <c r="B91" s="18" t="s">
        <v>1700</v>
      </c>
      <c r="C91" s="160">
        <v>33.875</v>
      </c>
      <c r="D91" s="135">
        <v>0.6875</v>
      </c>
      <c r="E91" s="160">
        <v>11.5</v>
      </c>
      <c r="F91" s="135">
        <v>1.25</v>
      </c>
      <c r="G91" s="135">
        <v>2.0625</v>
      </c>
      <c r="H91" s="135">
        <v>1.125</v>
      </c>
      <c r="I91" s="160"/>
      <c r="J91" s="135"/>
      <c r="K91" s="123">
        <f t="shared" si="5"/>
        <v>9.3645833333333339</v>
      </c>
      <c r="L91" s="281">
        <f t="shared" ref="L91:L154" si="6">K91*3.2808399*0.09290304</f>
        <v>2.8543250043385746</v>
      </c>
      <c r="M91" s="279">
        <f t="shared" si="3"/>
        <v>251.49972347939243</v>
      </c>
      <c r="N91" s="1">
        <v>169</v>
      </c>
    </row>
    <row r="92" spans="2:14" x14ac:dyDescent="0.2">
      <c r="B92" s="131" t="s">
        <v>921</v>
      </c>
      <c r="C92" s="134">
        <v>33.5</v>
      </c>
      <c r="D92" s="133">
        <v>0.625</v>
      </c>
      <c r="E92" s="134">
        <v>11.625</v>
      </c>
      <c r="F92" s="133">
        <v>1.0625</v>
      </c>
      <c r="G92" s="133">
        <v>1.875</v>
      </c>
      <c r="H92" s="133">
        <v>1.125</v>
      </c>
      <c r="I92" s="134">
        <v>5.5</v>
      </c>
      <c r="J92" s="133">
        <v>3.25</v>
      </c>
      <c r="K92" s="123">
        <f t="shared" si="5"/>
        <v>9.3541666666666661</v>
      </c>
      <c r="L92" s="279">
        <f t="shared" si="6"/>
        <v>2.8511500043337481</v>
      </c>
      <c r="M92" s="279">
        <f t="shared" si="3"/>
        <v>226.20093472702752</v>
      </c>
      <c r="N92" s="1">
        <v>152</v>
      </c>
    </row>
    <row r="93" spans="2:14" x14ac:dyDescent="0.2">
      <c r="B93" s="18" t="s">
        <v>922</v>
      </c>
      <c r="C93" s="20">
        <v>33.25</v>
      </c>
      <c r="D93" s="19">
        <v>0.625</v>
      </c>
      <c r="E93" s="20">
        <v>11.5</v>
      </c>
      <c r="F93" s="19">
        <v>0.9375</v>
      </c>
      <c r="G93" s="19">
        <v>1.75</v>
      </c>
      <c r="H93" s="19">
        <v>1.0625</v>
      </c>
      <c r="I93" s="20">
        <v>5.5</v>
      </c>
      <c r="J93" s="19">
        <v>3</v>
      </c>
      <c r="K93" s="136">
        <f t="shared" si="5"/>
        <v>9.2708333333333339</v>
      </c>
      <c r="L93" s="279">
        <f t="shared" si="6"/>
        <v>2.8257500042951404</v>
      </c>
      <c r="M93" s="279">
        <f t="shared" si="3"/>
        <v>209.83113024020315</v>
      </c>
      <c r="N93" s="1">
        <v>141</v>
      </c>
    </row>
    <row r="94" spans="2:14" x14ac:dyDescent="0.2">
      <c r="B94" s="131" t="s">
        <v>923</v>
      </c>
      <c r="C94" s="134">
        <v>33.125</v>
      </c>
      <c r="D94" s="133">
        <v>0.5625</v>
      </c>
      <c r="E94" s="134">
        <v>11.5</v>
      </c>
      <c r="F94" s="133">
        <v>0.875</v>
      </c>
      <c r="G94" s="133">
        <v>1.6875</v>
      </c>
      <c r="H94" s="133">
        <v>1.0625</v>
      </c>
      <c r="I94" s="134">
        <v>5.5</v>
      </c>
      <c r="J94" s="133">
        <v>3</v>
      </c>
      <c r="K94" s="123">
        <f t="shared" si="5"/>
        <v>9.2604166666666661</v>
      </c>
      <c r="L94" s="279">
        <f t="shared" si="6"/>
        <v>2.8225750042903139</v>
      </c>
      <c r="M94" s="279">
        <f t="shared" si="3"/>
        <v>193.46132575337882</v>
      </c>
      <c r="N94" s="1">
        <v>130</v>
      </c>
    </row>
    <row r="95" spans="2:14" x14ac:dyDescent="0.2">
      <c r="B95" s="18" t="s">
        <v>924</v>
      </c>
      <c r="C95" s="22">
        <v>32.875</v>
      </c>
      <c r="D95" s="21">
        <v>0.5625</v>
      </c>
      <c r="E95" s="22">
        <v>11.5</v>
      </c>
      <c r="F95" s="21">
        <v>0.75</v>
      </c>
      <c r="G95" s="21">
        <v>1.5625</v>
      </c>
      <c r="H95" s="21">
        <v>1.0625</v>
      </c>
      <c r="I95" s="22">
        <v>5.5</v>
      </c>
      <c r="J95" s="21">
        <v>2.75</v>
      </c>
      <c r="K95" s="325">
        <f t="shared" si="5"/>
        <v>9.21875</v>
      </c>
      <c r="L95" s="321">
        <f t="shared" si="6"/>
        <v>2.8098750042710101</v>
      </c>
      <c r="M95" s="279">
        <f t="shared" si="3"/>
        <v>175.60335722229769</v>
      </c>
      <c r="N95" s="1">
        <v>118</v>
      </c>
    </row>
    <row r="96" spans="2:14" x14ac:dyDescent="0.2">
      <c r="B96" s="314"/>
      <c r="C96" s="322"/>
      <c r="D96" s="322"/>
      <c r="E96" s="322"/>
      <c r="F96" s="322"/>
      <c r="G96" s="322"/>
      <c r="H96" s="322"/>
      <c r="I96" s="322"/>
      <c r="J96" s="322"/>
      <c r="K96" s="323"/>
      <c r="L96" s="324"/>
      <c r="M96" s="319"/>
      <c r="N96" s="1"/>
    </row>
    <row r="97" spans="2:14" x14ac:dyDescent="0.2">
      <c r="B97" s="155" t="s">
        <v>1622</v>
      </c>
      <c r="C97" s="162">
        <v>35.375</v>
      </c>
      <c r="D97" s="163">
        <v>2</v>
      </c>
      <c r="E97" s="162">
        <v>16.25</v>
      </c>
      <c r="F97" s="163">
        <v>3.5625</v>
      </c>
      <c r="G97" s="163">
        <v>4.3125</v>
      </c>
      <c r="H97" s="163">
        <v>1.6875</v>
      </c>
      <c r="I97" s="162"/>
      <c r="J97" s="163"/>
      <c r="K97" s="154">
        <f t="shared" si="5"/>
        <v>10.979166666666666</v>
      </c>
      <c r="L97" s="277">
        <f t="shared" si="6"/>
        <v>3.346450005086604</v>
      </c>
      <c r="M97" s="278">
        <f t="shared" si="3"/>
        <v>864.6233097131776</v>
      </c>
      <c r="N97" s="1">
        <v>581</v>
      </c>
    </row>
    <row r="98" spans="2:14" x14ac:dyDescent="0.2">
      <c r="B98" s="155" t="s">
        <v>1621</v>
      </c>
      <c r="C98" s="156">
        <v>34.75</v>
      </c>
      <c r="D98" s="157">
        <v>1.8125</v>
      </c>
      <c r="E98" s="156">
        <v>16</v>
      </c>
      <c r="F98" s="157">
        <v>3.25</v>
      </c>
      <c r="G98" s="157">
        <v>4</v>
      </c>
      <c r="H98" s="157">
        <v>1.625</v>
      </c>
      <c r="I98" s="156"/>
      <c r="J98" s="157"/>
      <c r="K98" s="158">
        <f t="shared" si="5"/>
        <v>10.822916666666666</v>
      </c>
      <c r="L98" s="278">
        <f t="shared" si="6"/>
        <v>3.2988250050142138</v>
      </c>
      <c r="M98" s="278">
        <f>N98*3.2808399*0.4535924</f>
        <v>782.77428727905578</v>
      </c>
      <c r="N98" s="1">
        <v>526</v>
      </c>
    </row>
    <row r="99" spans="2:14" x14ac:dyDescent="0.2">
      <c r="B99" s="155" t="s">
        <v>1620</v>
      </c>
      <c r="C99" s="156">
        <v>34.25</v>
      </c>
      <c r="D99" s="157">
        <v>1.625</v>
      </c>
      <c r="E99" s="156">
        <v>15.875</v>
      </c>
      <c r="F99" s="157">
        <v>3</v>
      </c>
      <c r="G99" s="157">
        <v>3.75</v>
      </c>
      <c r="H99" s="157">
        <v>1.5625</v>
      </c>
      <c r="I99" s="156"/>
      <c r="J99" s="157"/>
      <c r="K99" s="158">
        <f t="shared" si="5"/>
        <v>10.729166666666666</v>
      </c>
      <c r="L99" s="278">
        <f t="shared" si="6"/>
        <v>3.2702500049707801</v>
      </c>
      <c r="M99" s="278">
        <f>N99*3.2808399*0.4535924</f>
        <v>709.8542491104746</v>
      </c>
      <c r="N99" s="1">
        <v>477</v>
      </c>
    </row>
    <row r="100" spans="2:14" x14ac:dyDescent="0.2">
      <c r="B100" s="155" t="s">
        <v>1619</v>
      </c>
      <c r="C100" s="156">
        <v>33.625</v>
      </c>
      <c r="D100" s="157">
        <v>1.5</v>
      </c>
      <c r="E100" s="156">
        <v>15.75</v>
      </c>
      <c r="F100" s="157">
        <v>2.6875</v>
      </c>
      <c r="G100" s="157">
        <v>3.4375</v>
      </c>
      <c r="H100" s="157">
        <v>1.5</v>
      </c>
      <c r="I100" s="156"/>
      <c r="J100" s="157"/>
      <c r="K100" s="158">
        <f t="shared" si="5"/>
        <v>10.604166666666666</v>
      </c>
      <c r="L100" s="278">
        <f t="shared" si="6"/>
        <v>3.2321500049128682</v>
      </c>
      <c r="M100" s="278">
        <f>N100*3.2808399*0.4535924</f>
        <v>644.37503116317714</v>
      </c>
      <c r="N100" s="1">
        <v>433</v>
      </c>
    </row>
    <row r="101" spans="2:14" x14ac:dyDescent="0.2">
      <c r="B101" s="18" t="s">
        <v>1618</v>
      </c>
      <c r="C101" s="20">
        <v>33.25</v>
      </c>
      <c r="D101" s="19">
        <v>1.375</v>
      </c>
      <c r="E101" s="20">
        <v>15.625</v>
      </c>
      <c r="F101" s="19">
        <v>2.4375</v>
      </c>
      <c r="G101" s="19">
        <v>3.25</v>
      </c>
      <c r="H101" s="19">
        <v>1.4375</v>
      </c>
      <c r="I101" s="20"/>
      <c r="J101" s="19"/>
      <c r="K101" s="136">
        <f t="shared" si="5"/>
        <v>10.520833333333334</v>
      </c>
      <c r="L101" s="279">
        <f t="shared" si="6"/>
        <v>3.2067500048742605</v>
      </c>
      <c r="M101" s="279">
        <f t="shared" ref="M101:M117" si="7">N101*3.2808399*0.4535924</f>
        <v>581.87214130439327</v>
      </c>
      <c r="N101" s="1">
        <v>391</v>
      </c>
    </row>
    <row r="102" spans="2:14" x14ac:dyDescent="0.2">
      <c r="B102" s="18" t="s">
        <v>1617</v>
      </c>
      <c r="C102" s="20">
        <v>32.75</v>
      </c>
      <c r="D102" s="19">
        <v>1.25</v>
      </c>
      <c r="E102" s="20">
        <v>15.5</v>
      </c>
      <c r="F102" s="19">
        <v>2.25</v>
      </c>
      <c r="G102" s="19">
        <v>3</v>
      </c>
      <c r="H102" s="19">
        <v>1.375</v>
      </c>
      <c r="I102" s="20"/>
      <c r="J102" s="19"/>
      <c r="K102" s="136">
        <f t="shared" si="5"/>
        <v>10.416666666666666</v>
      </c>
      <c r="L102" s="279">
        <f t="shared" si="6"/>
        <v>3.1750000048260003</v>
      </c>
      <c r="M102" s="279">
        <f t="shared" si="7"/>
        <v>531.27456379966327</v>
      </c>
      <c r="N102" s="1">
        <v>357</v>
      </c>
    </row>
    <row r="103" spans="2:14" x14ac:dyDescent="0.2">
      <c r="B103" s="18" t="s">
        <v>1616</v>
      </c>
      <c r="C103" s="20">
        <v>32.375</v>
      </c>
      <c r="D103" s="19">
        <v>1.125</v>
      </c>
      <c r="E103" s="20">
        <v>15.375</v>
      </c>
      <c r="F103" s="19">
        <v>2.0625</v>
      </c>
      <c r="G103" s="19">
        <v>2.8125</v>
      </c>
      <c r="H103" s="19">
        <v>1.3125</v>
      </c>
      <c r="I103" s="20"/>
      <c r="J103" s="19"/>
      <c r="K103" s="136">
        <f t="shared" si="5"/>
        <v>10.333333333333334</v>
      </c>
      <c r="L103" s="279">
        <f t="shared" si="6"/>
        <v>3.1496000047873927</v>
      </c>
      <c r="M103" s="279">
        <f t="shared" si="7"/>
        <v>485.14147842770382</v>
      </c>
      <c r="N103" s="1">
        <v>326</v>
      </c>
    </row>
    <row r="104" spans="2:14" x14ac:dyDescent="0.2">
      <c r="B104" s="18" t="s">
        <v>1615</v>
      </c>
      <c r="C104" s="20">
        <v>32</v>
      </c>
      <c r="D104" s="19">
        <v>1</v>
      </c>
      <c r="E104" s="20">
        <v>15.25</v>
      </c>
      <c r="F104" s="19">
        <v>1.875</v>
      </c>
      <c r="G104" s="19">
        <v>2.625</v>
      </c>
      <c r="H104" s="19">
        <v>1.25</v>
      </c>
      <c r="I104" s="20"/>
      <c r="J104" s="19"/>
      <c r="K104" s="136">
        <f t="shared" si="5"/>
        <v>10.25</v>
      </c>
      <c r="L104" s="279">
        <f t="shared" si="6"/>
        <v>3.1242000047487841</v>
      </c>
      <c r="M104" s="279">
        <f t="shared" si="7"/>
        <v>434.54390092297393</v>
      </c>
      <c r="N104" s="1">
        <v>292</v>
      </c>
    </row>
    <row r="105" spans="2:14" x14ac:dyDescent="0.2">
      <c r="B105" s="18" t="s">
        <v>1614</v>
      </c>
      <c r="C105" s="20">
        <v>31.625</v>
      </c>
      <c r="D105" s="19">
        <v>0.9375</v>
      </c>
      <c r="E105" s="20">
        <v>15.125</v>
      </c>
      <c r="F105" s="19">
        <v>1.625</v>
      </c>
      <c r="G105" s="19">
        <v>2.4375</v>
      </c>
      <c r="H105" s="19">
        <v>1.1875</v>
      </c>
      <c r="I105" s="20"/>
      <c r="J105" s="19"/>
      <c r="K105" s="136">
        <f t="shared" si="5"/>
        <v>10.15625</v>
      </c>
      <c r="L105" s="279">
        <f t="shared" si="6"/>
        <v>3.0956250047053504</v>
      </c>
      <c r="M105" s="279">
        <f t="shared" si="7"/>
        <v>388.41081555101437</v>
      </c>
      <c r="N105" s="1">
        <v>261</v>
      </c>
    </row>
    <row r="106" spans="2:14" x14ac:dyDescent="0.2">
      <c r="B106" s="131" t="s">
        <v>1613</v>
      </c>
      <c r="C106" s="134">
        <v>31.25</v>
      </c>
      <c r="D106" s="133">
        <v>0.8125</v>
      </c>
      <c r="E106" s="134">
        <v>15</v>
      </c>
      <c r="F106" s="133">
        <v>1.5</v>
      </c>
      <c r="G106" s="133">
        <v>2.25</v>
      </c>
      <c r="H106" s="133">
        <v>1.125</v>
      </c>
      <c r="I106" s="134" t="s">
        <v>899</v>
      </c>
      <c r="J106" s="133" t="s">
        <v>899</v>
      </c>
      <c r="K106" s="136">
        <f t="shared" si="5"/>
        <v>10.072916666666666</v>
      </c>
      <c r="L106" s="279">
        <f t="shared" si="6"/>
        <v>3.0702250046667419</v>
      </c>
      <c r="M106" s="279">
        <f t="shared" si="7"/>
        <v>349.71855040033864</v>
      </c>
      <c r="N106" s="1">
        <v>235</v>
      </c>
    </row>
    <row r="107" spans="2:14" x14ac:dyDescent="0.2">
      <c r="B107" s="18" t="s">
        <v>925</v>
      </c>
      <c r="C107" s="20">
        <v>31</v>
      </c>
      <c r="D107" s="19">
        <v>0.75</v>
      </c>
      <c r="E107" s="20">
        <v>15.125</v>
      </c>
      <c r="F107" s="19">
        <v>1.3125</v>
      </c>
      <c r="G107" s="19">
        <v>2.125</v>
      </c>
      <c r="H107" s="19">
        <v>1.125</v>
      </c>
      <c r="I107" s="20">
        <v>5.5</v>
      </c>
      <c r="J107" s="19">
        <v>3.5</v>
      </c>
      <c r="K107" s="136">
        <f t="shared" ref="K107:K130" si="8">((C107-(F107*2))*2+(E107*4)+(F107*4)-(D107*2))*12/144</f>
        <v>10.083333333333334</v>
      </c>
      <c r="L107" s="279">
        <f t="shared" si="6"/>
        <v>3.0734000046715688</v>
      </c>
      <c r="M107" s="279">
        <f t="shared" si="7"/>
        <v>314.00261333817639</v>
      </c>
      <c r="N107" s="1">
        <v>211</v>
      </c>
    </row>
    <row r="108" spans="2:14" x14ac:dyDescent="0.2">
      <c r="B108" s="131" t="s">
        <v>926</v>
      </c>
      <c r="C108" s="134">
        <v>30.625</v>
      </c>
      <c r="D108" s="133">
        <v>0.6875</v>
      </c>
      <c r="E108" s="134">
        <v>15</v>
      </c>
      <c r="F108" s="133">
        <v>1.1875</v>
      </c>
      <c r="G108" s="133">
        <v>1.9375</v>
      </c>
      <c r="H108" s="133">
        <v>1.0625</v>
      </c>
      <c r="I108" s="134">
        <v>5.5</v>
      </c>
      <c r="J108" s="133">
        <v>3.25</v>
      </c>
      <c r="K108" s="123">
        <f t="shared" si="8"/>
        <v>9.9895833333333339</v>
      </c>
      <c r="L108" s="279">
        <f t="shared" si="6"/>
        <v>3.0448250046281342</v>
      </c>
      <c r="M108" s="279">
        <f t="shared" si="7"/>
        <v>284.23933245304113</v>
      </c>
      <c r="N108" s="1">
        <v>191</v>
      </c>
    </row>
    <row r="109" spans="2:14" x14ac:dyDescent="0.2">
      <c r="B109" s="18" t="s">
        <v>927</v>
      </c>
      <c r="C109" s="22">
        <v>30.5</v>
      </c>
      <c r="D109" s="21">
        <v>0.625</v>
      </c>
      <c r="E109" s="22">
        <v>15</v>
      </c>
      <c r="F109" s="21">
        <v>1.0625</v>
      </c>
      <c r="G109" s="21">
        <v>1.875</v>
      </c>
      <c r="H109" s="21">
        <v>1.0625</v>
      </c>
      <c r="I109" s="22">
        <v>5.5</v>
      </c>
      <c r="J109" s="21">
        <v>3.25</v>
      </c>
      <c r="K109" s="325">
        <f t="shared" si="8"/>
        <v>9.9791666666666661</v>
      </c>
      <c r="L109" s="321">
        <f t="shared" si="6"/>
        <v>3.0416500046233081</v>
      </c>
      <c r="M109" s="279">
        <f t="shared" si="7"/>
        <v>257.45237965641951</v>
      </c>
      <c r="N109" s="1">
        <v>173</v>
      </c>
    </row>
    <row r="110" spans="2:14" x14ac:dyDescent="0.2">
      <c r="B110" s="314"/>
      <c r="C110" s="322"/>
      <c r="D110" s="322"/>
      <c r="E110" s="322"/>
      <c r="F110" s="322"/>
      <c r="G110" s="322"/>
      <c r="H110" s="322"/>
      <c r="I110" s="322"/>
      <c r="J110" s="322"/>
      <c r="K110" s="323"/>
      <c r="L110" s="324"/>
      <c r="M110" s="319"/>
      <c r="N110" s="1"/>
    </row>
    <row r="111" spans="2:14" x14ac:dyDescent="0.2">
      <c r="B111" s="18" t="s">
        <v>1701</v>
      </c>
      <c r="C111" s="160">
        <v>30.625</v>
      </c>
      <c r="D111" s="135">
        <v>0.625</v>
      </c>
      <c r="E111" s="160">
        <v>10.5</v>
      </c>
      <c r="F111" s="135">
        <v>1.1875</v>
      </c>
      <c r="G111" s="135">
        <v>2</v>
      </c>
      <c r="H111" s="135">
        <v>1</v>
      </c>
      <c r="I111" s="160"/>
      <c r="J111" s="135"/>
      <c r="K111" s="123">
        <f t="shared" si="8"/>
        <v>8.5</v>
      </c>
      <c r="L111" s="281">
        <f t="shared" si="6"/>
        <v>2.5908000039380163</v>
      </c>
      <c r="M111" s="279">
        <f t="shared" si="7"/>
        <v>220.24827855000049</v>
      </c>
      <c r="N111" s="1">
        <v>148</v>
      </c>
    </row>
    <row r="112" spans="2:14" x14ac:dyDescent="0.2">
      <c r="B112" s="131" t="s">
        <v>928</v>
      </c>
      <c r="C112" s="134">
        <v>30.25</v>
      </c>
      <c r="D112" s="133">
        <v>0.625</v>
      </c>
      <c r="E112" s="134">
        <v>10.5</v>
      </c>
      <c r="F112" s="133">
        <v>1</v>
      </c>
      <c r="G112" s="133">
        <v>1.75</v>
      </c>
      <c r="H112" s="133">
        <v>1.0625</v>
      </c>
      <c r="I112" s="134">
        <v>5.5</v>
      </c>
      <c r="J112" s="133">
        <v>3</v>
      </c>
      <c r="K112" s="123">
        <f t="shared" si="8"/>
        <v>8.4375</v>
      </c>
      <c r="L112" s="279">
        <f t="shared" si="6"/>
        <v>2.5717500039090604</v>
      </c>
      <c r="M112" s="279">
        <f t="shared" si="7"/>
        <v>196.43765384189234</v>
      </c>
      <c r="N112" s="1">
        <v>132</v>
      </c>
    </row>
    <row r="113" spans="2:14" x14ac:dyDescent="0.2">
      <c r="B113" s="18" t="s">
        <v>929</v>
      </c>
      <c r="C113" s="20">
        <v>30.125</v>
      </c>
      <c r="D113" s="19">
        <v>0.5625</v>
      </c>
      <c r="E113" s="20">
        <v>10.5</v>
      </c>
      <c r="F113" s="19">
        <v>0.9375</v>
      </c>
      <c r="G113" s="19">
        <v>1.6875</v>
      </c>
      <c r="H113" s="19">
        <v>1</v>
      </c>
      <c r="I113" s="20">
        <v>5.5</v>
      </c>
      <c r="J113" s="19">
        <v>3</v>
      </c>
      <c r="K113" s="136">
        <f t="shared" si="8"/>
        <v>8.4270833333333339</v>
      </c>
      <c r="L113" s="279">
        <f t="shared" si="6"/>
        <v>2.5685750039042343</v>
      </c>
      <c r="M113" s="279">
        <f t="shared" si="7"/>
        <v>184.53234148783824</v>
      </c>
      <c r="N113" s="1">
        <v>124</v>
      </c>
    </row>
    <row r="114" spans="2:14" x14ac:dyDescent="0.2">
      <c r="B114" s="131" t="s">
        <v>930</v>
      </c>
      <c r="C114" s="134">
        <v>30</v>
      </c>
      <c r="D114" s="133">
        <v>0.5625</v>
      </c>
      <c r="E114" s="134">
        <v>10.5</v>
      </c>
      <c r="F114" s="133">
        <v>0.875</v>
      </c>
      <c r="G114" s="133">
        <v>1.625</v>
      </c>
      <c r="H114" s="133">
        <v>1</v>
      </c>
      <c r="I114" s="134">
        <v>5.5</v>
      </c>
      <c r="J114" s="133">
        <v>3</v>
      </c>
      <c r="K114" s="123">
        <f t="shared" si="8"/>
        <v>8.40625</v>
      </c>
      <c r="L114" s="279">
        <f t="shared" si="6"/>
        <v>2.5622250038945822</v>
      </c>
      <c r="M114" s="279">
        <f t="shared" si="7"/>
        <v>172.62702913378416</v>
      </c>
      <c r="N114" s="1">
        <v>116</v>
      </c>
    </row>
    <row r="115" spans="2:14" x14ac:dyDescent="0.2">
      <c r="B115" s="18" t="s">
        <v>931</v>
      </c>
      <c r="C115" s="20">
        <v>29.875</v>
      </c>
      <c r="D115" s="19">
        <v>0.5625</v>
      </c>
      <c r="E115" s="20">
        <v>10.5</v>
      </c>
      <c r="F115" s="19">
        <v>0.75</v>
      </c>
      <c r="G115" s="19">
        <v>1.5625</v>
      </c>
      <c r="H115" s="19">
        <v>1</v>
      </c>
      <c r="I115" s="20">
        <v>5.5</v>
      </c>
      <c r="J115" s="19">
        <v>3</v>
      </c>
      <c r="K115" s="136">
        <f t="shared" si="8"/>
        <v>8.3854166666666661</v>
      </c>
      <c r="L115" s="279">
        <f t="shared" si="6"/>
        <v>2.5558750038849301</v>
      </c>
      <c r="M115" s="279">
        <f t="shared" si="7"/>
        <v>160.72171677973009</v>
      </c>
      <c r="N115" s="1">
        <v>108</v>
      </c>
    </row>
    <row r="116" spans="2:14" x14ac:dyDescent="0.2">
      <c r="B116" s="18" t="s">
        <v>932</v>
      </c>
      <c r="C116" s="20">
        <v>29.625</v>
      </c>
      <c r="D116" s="19">
        <v>0.5</v>
      </c>
      <c r="E116" s="20">
        <v>10.5</v>
      </c>
      <c r="F116" s="19">
        <v>0.6875</v>
      </c>
      <c r="G116" s="19">
        <v>1.4375</v>
      </c>
      <c r="H116" s="19">
        <v>1</v>
      </c>
      <c r="I116" s="20">
        <v>5.5</v>
      </c>
      <c r="J116" s="19">
        <v>2.75</v>
      </c>
      <c r="K116" s="136">
        <f t="shared" si="8"/>
        <v>8.3541666666666661</v>
      </c>
      <c r="L116" s="279">
        <f t="shared" si="6"/>
        <v>2.5463500038704523</v>
      </c>
      <c r="M116" s="279">
        <f t="shared" si="7"/>
        <v>147.32824038141925</v>
      </c>
      <c r="N116" s="1">
        <v>99</v>
      </c>
    </row>
    <row r="117" spans="2:14" x14ac:dyDescent="0.2">
      <c r="B117" s="159" t="s">
        <v>1702</v>
      </c>
      <c r="C117" s="134">
        <v>29.5</v>
      </c>
      <c r="D117" s="133">
        <v>0.5</v>
      </c>
      <c r="E117" s="134">
        <v>10.375</v>
      </c>
      <c r="F117" s="133">
        <v>0.5625</v>
      </c>
      <c r="G117" s="133">
        <v>1.3125</v>
      </c>
      <c r="H117" s="133">
        <v>1</v>
      </c>
      <c r="I117" s="134"/>
      <c r="J117" s="133"/>
      <c r="K117" s="320">
        <f t="shared" si="8"/>
        <v>8.2916666666666661</v>
      </c>
      <c r="L117" s="321">
        <f t="shared" si="6"/>
        <v>2.5273000038414963</v>
      </c>
      <c r="M117" s="279">
        <f t="shared" si="7"/>
        <v>133.93476398310841</v>
      </c>
      <c r="N117" s="1">
        <v>90</v>
      </c>
    </row>
    <row r="118" spans="2:14" x14ac:dyDescent="0.2">
      <c r="B118" s="317"/>
      <c r="C118" s="322"/>
      <c r="D118" s="322"/>
      <c r="E118" s="322"/>
      <c r="F118" s="322"/>
      <c r="G118" s="322"/>
      <c r="H118" s="322"/>
      <c r="I118" s="322"/>
      <c r="J118" s="322"/>
      <c r="K118" s="323"/>
      <c r="L118" s="324"/>
      <c r="M118" s="319"/>
      <c r="N118" s="1"/>
    </row>
    <row r="119" spans="2:14" x14ac:dyDescent="0.2">
      <c r="B119" s="161" t="s">
        <v>1634</v>
      </c>
      <c r="C119" s="162">
        <v>32.5</v>
      </c>
      <c r="D119" s="163">
        <v>2</v>
      </c>
      <c r="E119" s="162">
        <v>15.25</v>
      </c>
      <c r="F119" s="163">
        <v>3.5625</v>
      </c>
      <c r="G119" s="163">
        <v>4.25</v>
      </c>
      <c r="H119" s="163">
        <v>1.625</v>
      </c>
      <c r="I119" s="162"/>
      <c r="J119" s="163"/>
      <c r="K119" s="154">
        <f t="shared" si="8"/>
        <v>10.166666666666666</v>
      </c>
      <c r="L119" s="277">
        <f t="shared" si="6"/>
        <v>3.0988000047101765</v>
      </c>
      <c r="M119" s="278">
        <f t="shared" ref="M119:M182" si="9">N119*3.2808399*0.4535924</f>
        <v>802.12041985439373</v>
      </c>
      <c r="N119" s="1">
        <v>539</v>
      </c>
    </row>
    <row r="120" spans="2:14" x14ac:dyDescent="0.2">
      <c r="B120" s="161" t="s">
        <v>1633</v>
      </c>
      <c r="C120" s="162">
        <v>32</v>
      </c>
      <c r="D120" s="163">
        <v>1.8125</v>
      </c>
      <c r="E120" s="162">
        <v>15.125</v>
      </c>
      <c r="F120" s="163">
        <v>3.25</v>
      </c>
      <c r="G120" s="163">
        <v>4</v>
      </c>
      <c r="H120" s="163">
        <v>1.5625</v>
      </c>
      <c r="I120" s="162"/>
      <c r="J120" s="163"/>
      <c r="K120" s="158">
        <f t="shared" si="8"/>
        <v>10.072916666666666</v>
      </c>
      <c r="L120" s="278">
        <f t="shared" si="6"/>
        <v>3.0702250046667419</v>
      </c>
      <c r="M120" s="278">
        <f t="shared" si="9"/>
        <v>735.15303786283948</v>
      </c>
      <c r="N120" s="1">
        <v>494</v>
      </c>
    </row>
    <row r="121" spans="2:14" x14ac:dyDescent="0.2">
      <c r="B121" s="159" t="s">
        <v>1632</v>
      </c>
      <c r="C121" s="160">
        <v>31.375</v>
      </c>
      <c r="D121" s="135">
        <v>1.625</v>
      </c>
      <c r="E121" s="160">
        <v>15</v>
      </c>
      <c r="F121" s="135">
        <v>3</v>
      </c>
      <c r="G121" s="135">
        <v>3.6875</v>
      </c>
      <c r="H121" s="135">
        <v>1.5</v>
      </c>
      <c r="I121" s="160"/>
      <c r="J121" s="135"/>
      <c r="K121" s="136">
        <f t="shared" si="8"/>
        <v>9.9583333333333339</v>
      </c>
      <c r="L121" s="279">
        <f t="shared" si="6"/>
        <v>3.0353000046136569</v>
      </c>
      <c r="M121" s="279">
        <f t="shared" si="9"/>
        <v>666.69749182702856</v>
      </c>
      <c r="N121" s="1">
        <v>448</v>
      </c>
    </row>
    <row r="122" spans="2:14" x14ac:dyDescent="0.2">
      <c r="B122" s="159" t="s">
        <v>1631</v>
      </c>
      <c r="C122" s="160">
        <v>30.875</v>
      </c>
      <c r="D122" s="135">
        <v>1.5</v>
      </c>
      <c r="E122" s="160">
        <v>14.75</v>
      </c>
      <c r="F122" s="135">
        <v>2.75</v>
      </c>
      <c r="G122" s="135">
        <v>3.4375</v>
      </c>
      <c r="H122" s="135">
        <v>1.4375</v>
      </c>
      <c r="I122" s="160"/>
      <c r="J122" s="135"/>
      <c r="K122" s="136">
        <f t="shared" si="8"/>
        <v>9.8125</v>
      </c>
      <c r="L122" s="279">
        <f t="shared" si="6"/>
        <v>2.9908500045460924</v>
      </c>
      <c r="M122" s="279">
        <f t="shared" si="9"/>
        <v>605.68276601250136</v>
      </c>
      <c r="N122" s="1">
        <v>407</v>
      </c>
    </row>
    <row r="123" spans="2:14" x14ac:dyDescent="0.2">
      <c r="B123" s="159" t="s">
        <v>1630</v>
      </c>
      <c r="C123" s="160">
        <v>30.375</v>
      </c>
      <c r="D123" s="135">
        <v>1.375</v>
      </c>
      <c r="E123" s="160">
        <v>14.625</v>
      </c>
      <c r="F123" s="135">
        <v>2.5</v>
      </c>
      <c r="G123" s="135">
        <v>3.1875</v>
      </c>
      <c r="H123" s="135">
        <v>1.3125</v>
      </c>
      <c r="I123" s="160"/>
      <c r="J123" s="135"/>
      <c r="K123" s="136">
        <f t="shared" si="8"/>
        <v>9.7083333333333339</v>
      </c>
      <c r="L123" s="279">
        <f t="shared" si="6"/>
        <v>2.9591000044978326</v>
      </c>
      <c r="M123" s="279">
        <f t="shared" si="9"/>
        <v>547.64436828648763</v>
      </c>
      <c r="N123" s="1">
        <v>368</v>
      </c>
    </row>
    <row r="124" spans="2:14" x14ac:dyDescent="0.2">
      <c r="B124" s="159" t="s">
        <v>1629</v>
      </c>
      <c r="C124" s="160">
        <v>30</v>
      </c>
      <c r="D124" s="135">
        <v>1.25</v>
      </c>
      <c r="E124" s="160">
        <v>14.5</v>
      </c>
      <c r="F124" s="135">
        <v>2.25</v>
      </c>
      <c r="G124" s="135">
        <v>3</v>
      </c>
      <c r="H124" s="135">
        <v>1.3125</v>
      </c>
      <c r="I124" s="160"/>
      <c r="J124" s="135"/>
      <c r="K124" s="136">
        <f t="shared" si="8"/>
        <v>9.625</v>
      </c>
      <c r="L124" s="279">
        <f t="shared" si="6"/>
        <v>2.9337000044592245</v>
      </c>
      <c r="M124" s="279">
        <f t="shared" si="9"/>
        <v>500.02311887027139</v>
      </c>
      <c r="N124" s="1">
        <v>336</v>
      </c>
    </row>
    <row r="125" spans="2:14" x14ac:dyDescent="0.2">
      <c r="B125" s="159" t="s">
        <v>1628</v>
      </c>
      <c r="C125" s="160">
        <v>29.625</v>
      </c>
      <c r="D125" s="135">
        <v>1.1875</v>
      </c>
      <c r="E125" s="160">
        <v>14.5</v>
      </c>
      <c r="F125" s="135">
        <v>2.0625</v>
      </c>
      <c r="G125" s="135">
        <v>2.8125</v>
      </c>
      <c r="H125" s="135">
        <v>1.25</v>
      </c>
      <c r="I125" s="160"/>
      <c r="J125" s="135"/>
      <c r="K125" s="136">
        <f t="shared" si="8"/>
        <v>9.5729166666666661</v>
      </c>
      <c r="L125" s="279">
        <f t="shared" si="6"/>
        <v>2.9178250044350942</v>
      </c>
      <c r="M125" s="279">
        <f t="shared" si="9"/>
        <v>575.9194851273661</v>
      </c>
      <c r="N125" s="1">
        <v>387</v>
      </c>
    </row>
    <row r="126" spans="2:14" x14ac:dyDescent="0.2">
      <c r="B126" s="159" t="s">
        <v>1627</v>
      </c>
      <c r="C126" s="160">
        <v>29.25</v>
      </c>
      <c r="D126" s="135">
        <v>1.0625</v>
      </c>
      <c r="E126" s="160">
        <v>14.375</v>
      </c>
      <c r="F126" s="135">
        <v>1.9375</v>
      </c>
      <c r="G126" s="135">
        <v>2.625</v>
      </c>
      <c r="H126" s="135">
        <v>1.1875</v>
      </c>
      <c r="I126" s="160"/>
      <c r="J126" s="135"/>
      <c r="K126" s="136">
        <f t="shared" si="8"/>
        <v>9.4895833333333339</v>
      </c>
      <c r="L126" s="279">
        <f t="shared" si="6"/>
        <v>2.8924250043964865</v>
      </c>
      <c r="M126" s="279">
        <f t="shared" si="9"/>
        <v>418.17409643614957</v>
      </c>
      <c r="N126" s="1">
        <v>281</v>
      </c>
    </row>
    <row r="127" spans="2:14" x14ac:dyDescent="0.2">
      <c r="B127" s="159" t="s">
        <v>1626</v>
      </c>
      <c r="C127" s="160">
        <v>29</v>
      </c>
      <c r="D127" s="135">
        <v>1</v>
      </c>
      <c r="E127" s="160">
        <v>14.25</v>
      </c>
      <c r="F127" s="135">
        <v>1.75</v>
      </c>
      <c r="G127" s="135">
        <v>2.5</v>
      </c>
      <c r="H127" s="135">
        <v>1.125</v>
      </c>
      <c r="I127" s="160"/>
      <c r="J127" s="135"/>
      <c r="K127" s="136">
        <f t="shared" si="8"/>
        <v>9.4166666666666661</v>
      </c>
      <c r="L127" s="279">
        <f t="shared" si="6"/>
        <v>2.8702000043627041</v>
      </c>
      <c r="M127" s="279">
        <f t="shared" si="9"/>
        <v>383.94632341824411</v>
      </c>
      <c r="N127" s="1">
        <v>258</v>
      </c>
    </row>
    <row r="128" spans="2:14" x14ac:dyDescent="0.2">
      <c r="B128" s="18" t="s">
        <v>1625</v>
      </c>
      <c r="C128" s="20">
        <v>28.625</v>
      </c>
      <c r="D128" s="19">
        <v>0.9375</v>
      </c>
      <c r="E128" s="20">
        <v>14.25</v>
      </c>
      <c r="F128" s="19">
        <v>1.625</v>
      </c>
      <c r="G128" s="19">
        <v>2.3125</v>
      </c>
      <c r="H128" s="19">
        <v>1.125</v>
      </c>
      <c r="I128" s="20"/>
      <c r="J128" s="19"/>
      <c r="K128" s="136">
        <f t="shared" si="8"/>
        <v>9.3645833333333339</v>
      </c>
      <c r="L128" s="279">
        <f t="shared" si="6"/>
        <v>2.8543250043385746</v>
      </c>
      <c r="M128" s="279">
        <f t="shared" si="9"/>
        <v>349.71855040033864</v>
      </c>
      <c r="N128" s="1">
        <v>235</v>
      </c>
    </row>
    <row r="129" spans="2:14" x14ac:dyDescent="0.2">
      <c r="B129" s="131" t="s">
        <v>1624</v>
      </c>
      <c r="C129" s="134">
        <v>28.375</v>
      </c>
      <c r="D129" s="133">
        <v>0.8125</v>
      </c>
      <c r="E129" s="134">
        <v>14.125</v>
      </c>
      <c r="F129" s="133">
        <v>1.5</v>
      </c>
      <c r="G129" s="133">
        <v>2.1875</v>
      </c>
      <c r="H129" s="133">
        <v>1.0625</v>
      </c>
      <c r="I129" s="134"/>
      <c r="J129" s="133"/>
      <c r="K129" s="136">
        <f t="shared" si="8"/>
        <v>9.3020833333333339</v>
      </c>
      <c r="L129" s="279">
        <f t="shared" si="6"/>
        <v>2.8352750043096187</v>
      </c>
      <c r="M129" s="279">
        <f t="shared" si="9"/>
        <v>322.93159760371697</v>
      </c>
      <c r="N129" s="1">
        <v>217</v>
      </c>
    </row>
    <row r="130" spans="2:14" x14ac:dyDescent="0.2">
      <c r="B130" s="18" t="s">
        <v>1623</v>
      </c>
      <c r="C130" s="20">
        <v>28.125</v>
      </c>
      <c r="D130" s="19">
        <v>0.75</v>
      </c>
      <c r="E130" s="20">
        <v>14</v>
      </c>
      <c r="F130" s="19">
        <v>1.3125</v>
      </c>
      <c r="G130" s="19">
        <v>2.0625</v>
      </c>
      <c r="H130" s="19">
        <v>1</v>
      </c>
      <c r="I130" s="20" t="s">
        <v>899</v>
      </c>
      <c r="J130" s="19" t="s">
        <v>899</v>
      </c>
      <c r="K130" s="136">
        <f t="shared" si="8"/>
        <v>9.2291666666666661</v>
      </c>
      <c r="L130" s="279">
        <f t="shared" si="6"/>
        <v>2.8130500042758362</v>
      </c>
      <c r="M130" s="279">
        <f t="shared" si="9"/>
        <v>288.70382458581145</v>
      </c>
      <c r="N130" s="1">
        <v>194</v>
      </c>
    </row>
    <row r="131" spans="2:14" x14ac:dyDescent="0.2">
      <c r="B131" s="131" t="s">
        <v>933</v>
      </c>
      <c r="C131" s="134">
        <v>27.75</v>
      </c>
      <c r="D131" s="133">
        <v>0.75</v>
      </c>
      <c r="E131" s="134">
        <v>14.125</v>
      </c>
      <c r="F131" s="133">
        <v>1.1875</v>
      </c>
      <c r="G131" s="133">
        <v>1.875</v>
      </c>
      <c r="H131" s="133">
        <v>1.0625</v>
      </c>
      <c r="I131" s="134">
        <v>5.5</v>
      </c>
      <c r="J131" s="133">
        <v>3.25</v>
      </c>
      <c r="K131" s="123">
        <f t="shared" ref="K131:K152" si="10">((C131-(F131*2))*2+(E131*4)+(F131*4)-(D131*2))*12/144</f>
        <v>9.2083333333333339</v>
      </c>
      <c r="L131" s="279">
        <f t="shared" si="6"/>
        <v>2.8067000042661845</v>
      </c>
      <c r="M131" s="279">
        <f t="shared" si="9"/>
        <v>264.8931998777033</v>
      </c>
      <c r="N131" s="1">
        <v>178</v>
      </c>
    </row>
    <row r="132" spans="2:14" x14ac:dyDescent="0.2">
      <c r="B132" s="18" t="s">
        <v>934</v>
      </c>
      <c r="C132" s="20">
        <v>27.625</v>
      </c>
      <c r="D132" s="19">
        <v>0.6875</v>
      </c>
      <c r="E132" s="20">
        <v>14</v>
      </c>
      <c r="F132" s="19">
        <v>1.0625</v>
      </c>
      <c r="G132" s="19">
        <v>1.8125</v>
      </c>
      <c r="H132" s="19">
        <v>1</v>
      </c>
      <c r="I132" s="20">
        <v>5.5</v>
      </c>
      <c r="J132" s="19">
        <v>3.25</v>
      </c>
      <c r="K132" s="136">
        <f t="shared" si="10"/>
        <v>9.15625</v>
      </c>
      <c r="L132" s="279">
        <f t="shared" si="6"/>
        <v>2.7908250042420542</v>
      </c>
      <c r="M132" s="279">
        <f t="shared" si="9"/>
        <v>239.59441112533838</v>
      </c>
      <c r="N132" s="1">
        <v>161</v>
      </c>
    </row>
    <row r="133" spans="2:14" x14ac:dyDescent="0.2">
      <c r="B133" s="18" t="s">
        <v>935</v>
      </c>
      <c r="C133" s="22">
        <v>27.375</v>
      </c>
      <c r="D133" s="21">
        <v>0.625</v>
      </c>
      <c r="E133" s="22">
        <v>14</v>
      </c>
      <c r="F133" s="21">
        <v>1</v>
      </c>
      <c r="G133" s="21">
        <v>1.6875</v>
      </c>
      <c r="H133" s="21">
        <v>1</v>
      </c>
      <c r="I133" s="22">
        <v>5.5</v>
      </c>
      <c r="J133" s="21">
        <v>3</v>
      </c>
      <c r="K133" s="320">
        <f t="shared" si="10"/>
        <v>9.125</v>
      </c>
      <c r="L133" s="321">
        <f t="shared" si="6"/>
        <v>2.7813000042275764</v>
      </c>
      <c r="M133" s="279">
        <f t="shared" si="9"/>
        <v>217.27195046148697</v>
      </c>
      <c r="N133" s="1">
        <v>146</v>
      </c>
    </row>
    <row r="134" spans="2:14" x14ac:dyDescent="0.2">
      <c r="B134" s="314"/>
      <c r="C134" s="322"/>
      <c r="D134" s="322"/>
      <c r="E134" s="322"/>
      <c r="F134" s="322"/>
      <c r="G134" s="322"/>
      <c r="H134" s="322"/>
      <c r="I134" s="322"/>
      <c r="J134" s="322"/>
      <c r="K134" s="323"/>
      <c r="L134" s="324"/>
      <c r="M134" s="319"/>
      <c r="N134" s="1"/>
    </row>
    <row r="135" spans="2:14" x14ac:dyDescent="0.2">
      <c r="B135" s="131" t="s">
        <v>1703</v>
      </c>
      <c r="C135" s="134">
        <v>27.625</v>
      </c>
      <c r="D135" s="133">
        <v>0.625</v>
      </c>
      <c r="E135" s="134">
        <v>10</v>
      </c>
      <c r="F135" s="133">
        <v>1.125</v>
      </c>
      <c r="G135" s="133">
        <v>1.8125</v>
      </c>
      <c r="H135" s="133">
        <v>0.9375</v>
      </c>
      <c r="I135" s="160">
        <v>5.5</v>
      </c>
      <c r="J135" s="133"/>
      <c r="K135" s="123">
        <f t="shared" si="10"/>
        <v>7.833333333333333</v>
      </c>
      <c r="L135" s="281">
        <f t="shared" si="6"/>
        <v>2.387600003629152</v>
      </c>
      <c r="M135" s="279">
        <f t="shared" si="9"/>
        <v>191.97316170912205</v>
      </c>
      <c r="N135" s="1">
        <v>129</v>
      </c>
    </row>
    <row r="136" spans="2:14" x14ac:dyDescent="0.2">
      <c r="B136" s="18" t="s">
        <v>936</v>
      </c>
      <c r="C136" s="20">
        <v>27.25</v>
      </c>
      <c r="D136" s="19">
        <v>0.5625</v>
      </c>
      <c r="E136" s="20">
        <v>10.125</v>
      </c>
      <c r="F136" s="19">
        <v>0.9375</v>
      </c>
      <c r="G136" s="19">
        <v>1.625</v>
      </c>
      <c r="H136" s="19">
        <v>0.9375</v>
      </c>
      <c r="I136" s="20">
        <v>5.5</v>
      </c>
      <c r="J136" s="19">
        <v>3</v>
      </c>
      <c r="K136" s="136">
        <f t="shared" si="10"/>
        <v>7.822916666666667</v>
      </c>
      <c r="L136" s="279">
        <f t="shared" si="6"/>
        <v>2.3844250036243264</v>
      </c>
      <c r="M136" s="279">
        <f t="shared" si="9"/>
        <v>169.65070104527064</v>
      </c>
      <c r="N136" s="1">
        <v>114</v>
      </c>
    </row>
    <row r="137" spans="2:14" x14ac:dyDescent="0.2">
      <c r="B137" s="131" t="s">
        <v>937</v>
      </c>
      <c r="C137" s="134">
        <v>27.125</v>
      </c>
      <c r="D137" s="133">
        <v>0.5</v>
      </c>
      <c r="E137" s="134">
        <v>10</v>
      </c>
      <c r="F137" s="133">
        <v>0.8125</v>
      </c>
      <c r="G137" s="133">
        <v>1.5625</v>
      </c>
      <c r="H137" s="133">
        <v>0.9375</v>
      </c>
      <c r="I137" s="134">
        <v>5.5</v>
      </c>
      <c r="J137" s="133">
        <v>3</v>
      </c>
      <c r="K137" s="123">
        <f t="shared" si="10"/>
        <v>7.770833333333333</v>
      </c>
      <c r="L137" s="279">
        <f t="shared" si="6"/>
        <v>2.3685500036001961</v>
      </c>
      <c r="M137" s="279">
        <f t="shared" si="9"/>
        <v>151.79273251418954</v>
      </c>
      <c r="N137" s="1">
        <v>102</v>
      </c>
    </row>
    <row r="138" spans="2:14" x14ac:dyDescent="0.2">
      <c r="B138" s="18" t="s">
        <v>938</v>
      </c>
      <c r="C138" s="20">
        <v>26.875</v>
      </c>
      <c r="D138" s="19">
        <v>0.5</v>
      </c>
      <c r="E138" s="20">
        <v>10</v>
      </c>
      <c r="F138" s="19">
        <v>0.75</v>
      </c>
      <c r="G138" s="19">
        <v>1.4375</v>
      </c>
      <c r="H138" s="19">
        <v>0.9375</v>
      </c>
      <c r="I138" s="20">
        <v>5.5</v>
      </c>
      <c r="J138" s="19">
        <v>2.75</v>
      </c>
      <c r="K138" s="136">
        <f t="shared" si="10"/>
        <v>7.729166666666667</v>
      </c>
      <c r="L138" s="279">
        <f t="shared" si="6"/>
        <v>2.3558500035808922</v>
      </c>
      <c r="M138" s="279">
        <f t="shared" si="9"/>
        <v>139.88742016013546</v>
      </c>
      <c r="N138" s="1">
        <v>94</v>
      </c>
    </row>
    <row r="139" spans="2:14" x14ac:dyDescent="0.2">
      <c r="B139" s="18" t="s">
        <v>939</v>
      </c>
      <c r="C139" s="22">
        <v>26.75</v>
      </c>
      <c r="D139" s="21">
        <v>0.4375</v>
      </c>
      <c r="E139" s="22">
        <v>10</v>
      </c>
      <c r="F139" s="21">
        <v>0.625</v>
      </c>
      <c r="G139" s="21">
        <v>1.375</v>
      </c>
      <c r="H139" s="21">
        <v>0.9375</v>
      </c>
      <c r="I139" s="22">
        <v>5.5</v>
      </c>
      <c r="J139" s="21">
        <v>2.75</v>
      </c>
      <c r="K139" s="325">
        <f t="shared" si="10"/>
        <v>7.71875</v>
      </c>
      <c r="L139" s="321">
        <f t="shared" si="6"/>
        <v>2.3526750035760662</v>
      </c>
      <c r="M139" s="279">
        <f t="shared" si="9"/>
        <v>125.00577971756785</v>
      </c>
      <c r="N139" s="1">
        <v>84</v>
      </c>
    </row>
    <row r="140" spans="2:14" x14ac:dyDescent="0.2">
      <c r="B140" s="314"/>
      <c r="C140" s="322"/>
      <c r="D140" s="322"/>
      <c r="E140" s="322"/>
      <c r="F140" s="322"/>
      <c r="G140" s="322"/>
      <c r="H140" s="322"/>
      <c r="I140" s="322"/>
      <c r="J140" s="322"/>
      <c r="K140" s="323"/>
      <c r="L140" s="324"/>
      <c r="M140" s="319"/>
      <c r="N140" s="1"/>
    </row>
    <row r="141" spans="2:14" x14ac:dyDescent="0.2">
      <c r="B141" s="18" t="s">
        <v>1646</v>
      </c>
      <c r="C141" s="160">
        <v>29.625</v>
      </c>
      <c r="D141" s="135">
        <v>2</v>
      </c>
      <c r="E141" s="160">
        <v>14.125</v>
      </c>
      <c r="F141" s="135">
        <v>3.5625</v>
      </c>
      <c r="G141" s="135">
        <v>4.3125</v>
      </c>
      <c r="H141" s="135">
        <v>1.5625</v>
      </c>
      <c r="I141" s="160"/>
      <c r="J141" s="135"/>
      <c r="K141" s="123">
        <f t="shared" si="10"/>
        <v>9.3125</v>
      </c>
      <c r="L141" s="281">
        <f t="shared" si="6"/>
        <v>2.8384500043144443</v>
      </c>
      <c r="M141" s="279">
        <f t="shared" si="9"/>
        <v>732.1767097743259</v>
      </c>
      <c r="N141" s="1">
        <v>492</v>
      </c>
    </row>
    <row r="142" spans="2:14" x14ac:dyDescent="0.2">
      <c r="B142" s="18" t="s">
        <v>1645</v>
      </c>
      <c r="C142" s="20">
        <v>29.125</v>
      </c>
      <c r="D142" s="19">
        <v>1.8125</v>
      </c>
      <c r="E142" s="20">
        <v>14</v>
      </c>
      <c r="F142" s="19">
        <v>3.25</v>
      </c>
      <c r="G142" s="19">
        <v>4.0625</v>
      </c>
      <c r="H142" s="19">
        <v>1.5</v>
      </c>
      <c r="I142" s="20"/>
      <c r="J142" s="19"/>
      <c r="K142" s="136">
        <f t="shared" si="10"/>
        <v>9.21875</v>
      </c>
      <c r="L142" s="279">
        <f t="shared" si="6"/>
        <v>2.8098750042710101</v>
      </c>
      <c r="M142" s="279">
        <f t="shared" si="9"/>
        <v>669.67381991554203</v>
      </c>
      <c r="N142" s="1">
        <v>450</v>
      </c>
    </row>
    <row r="143" spans="2:14" x14ac:dyDescent="0.2">
      <c r="B143" s="18" t="s">
        <v>1644</v>
      </c>
      <c r="C143" s="20">
        <v>28.5</v>
      </c>
      <c r="D143" s="19">
        <v>1.625</v>
      </c>
      <c r="E143" s="20">
        <v>13.75</v>
      </c>
      <c r="F143" s="19">
        <v>3</v>
      </c>
      <c r="G143" s="19">
        <v>3.75</v>
      </c>
      <c r="H143" s="19">
        <v>1.375</v>
      </c>
      <c r="I143" s="20"/>
      <c r="J143" s="19"/>
      <c r="K143" s="136">
        <f t="shared" si="10"/>
        <v>9.0625</v>
      </c>
      <c r="L143" s="279">
        <f t="shared" si="6"/>
        <v>2.7622500041986204</v>
      </c>
      <c r="M143" s="279">
        <f t="shared" si="9"/>
        <v>607.17093005675815</v>
      </c>
      <c r="N143" s="1">
        <v>408</v>
      </c>
    </row>
    <row r="144" spans="2:14" x14ac:dyDescent="0.2">
      <c r="B144" s="18" t="s">
        <v>1643</v>
      </c>
      <c r="C144" s="20">
        <v>28</v>
      </c>
      <c r="D144" s="19">
        <v>1.5</v>
      </c>
      <c r="E144" s="20">
        <v>13.625</v>
      </c>
      <c r="F144" s="19">
        <v>2.75</v>
      </c>
      <c r="G144" s="19">
        <v>3.5</v>
      </c>
      <c r="H144" s="19">
        <v>1.3125</v>
      </c>
      <c r="I144" s="20"/>
      <c r="J144" s="19"/>
      <c r="K144" s="136">
        <f t="shared" si="10"/>
        <v>8.9583333333333339</v>
      </c>
      <c r="L144" s="279">
        <f t="shared" si="6"/>
        <v>2.7305000041503606</v>
      </c>
      <c r="M144" s="279">
        <f t="shared" si="9"/>
        <v>550.62069637500122</v>
      </c>
      <c r="N144" s="1">
        <v>370</v>
      </c>
    </row>
    <row r="145" spans="2:14" x14ac:dyDescent="0.2">
      <c r="B145" s="18" t="s">
        <v>1642</v>
      </c>
      <c r="C145" s="20">
        <v>27.5</v>
      </c>
      <c r="D145" s="19">
        <v>1.375</v>
      </c>
      <c r="E145" s="20">
        <v>13.5</v>
      </c>
      <c r="F145" s="19">
        <v>2.5</v>
      </c>
      <c r="G145" s="19">
        <v>3.25</v>
      </c>
      <c r="H145" s="19">
        <v>1.25</v>
      </c>
      <c r="I145" s="20"/>
      <c r="J145" s="19"/>
      <c r="K145" s="136">
        <f t="shared" si="10"/>
        <v>8.8541666666666661</v>
      </c>
      <c r="L145" s="279">
        <f t="shared" si="6"/>
        <v>2.6987500041021</v>
      </c>
      <c r="M145" s="279">
        <f t="shared" si="9"/>
        <v>498.53495482601465</v>
      </c>
      <c r="N145" s="1">
        <v>335</v>
      </c>
    </row>
    <row r="146" spans="2:14" x14ac:dyDescent="0.2">
      <c r="B146" s="18" t="s">
        <v>1641</v>
      </c>
      <c r="C146" s="20">
        <v>27.125</v>
      </c>
      <c r="D146" s="19">
        <v>1.25</v>
      </c>
      <c r="E146" s="20">
        <v>13.375</v>
      </c>
      <c r="F146" s="19">
        <v>2.25</v>
      </c>
      <c r="G146" s="19">
        <v>3.0625</v>
      </c>
      <c r="H146" s="19">
        <v>1.1875</v>
      </c>
      <c r="I146" s="20"/>
      <c r="J146" s="19"/>
      <c r="K146" s="136">
        <f t="shared" si="10"/>
        <v>8.7708333333333339</v>
      </c>
      <c r="L146" s="279">
        <f t="shared" si="6"/>
        <v>2.6733500040634928</v>
      </c>
      <c r="M146" s="279">
        <f t="shared" si="9"/>
        <v>455.37819754256861</v>
      </c>
      <c r="N146" s="1">
        <v>306</v>
      </c>
    </row>
    <row r="147" spans="2:14" x14ac:dyDescent="0.2">
      <c r="B147" s="18" t="s">
        <v>1640</v>
      </c>
      <c r="C147" s="20">
        <v>26.75</v>
      </c>
      <c r="D147" s="19">
        <v>1.1875</v>
      </c>
      <c r="E147" s="20">
        <v>13.25</v>
      </c>
      <c r="F147" s="19">
        <v>2.0625</v>
      </c>
      <c r="G147" s="19">
        <v>2.875</v>
      </c>
      <c r="H147" s="19">
        <v>1.125</v>
      </c>
      <c r="I147" s="20"/>
      <c r="J147" s="19"/>
      <c r="K147" s="136">
        <f t="shared" si="10"/>
        <v>8.6770833333333339</v>
      </c>
      <c r="L147" s="279">
        <f t="shared" si="6"/>
        <v>2.6447750040200586</v>
      </c>
      <c r="M147" s="279">
        <f t="shared" si="9"/>
        <v>415.1977683476361</v>
      </c>
      <c r="N147" s="1">
        <v>279</v>
      </c>
    </row>
    <row r="148" spans="2:14" x14ac:dyDescent="0.2">
      <c r="B148" s="18" t="s">
        <v>1639</v>
      </c>
      <c r="C148" s="20">
        <v>26.375</v>
      </c>
      <c r="D148" s="19">
        <v>1.0625</v>
      </c>
      <c r="E148" s="20">
        <v>13.125</v>
      </c>
      <c r="F148" s="19">
        <v>1.875</v>
      </c>
      <c r="G148" s="19">
        <v>2.6875</v>
      </c>
      <c r="H148" s="19">
        <v>1.125</v>
      </c>
      <c r="I148" s="20"/>
      <c r="J148" s="19"/>
      <c r="K148" s="136">
        <f t="shared" si="10"/>
        <v>8.59375</v>
      </c>
      <c r="L148" s="279">
        <f t="shared" si="6"/>
        <v>2.6193750039814501</v>
      </c>
      <c r="M148" s="279">
        <f t="shared" si="9"/>
        <v>372.04101106419</v>
      </c>
      <c r="N148" s="1">
        <v>250</v>
      </c>
    </row>
    <row r="149" spans="2:14" x14ac:dyDescent="0.2">
      <c r="B149" s="18" t="s">
        <v>1638</v>
      </c>
      <c r="C149" s="20">
        <v>26</v>
      </c>
      <c r="D149" s="19">
        <v>1</v>
      </c>
      <c r="E149" s="20">
        <v>13.125</v>
      </c>
      <c r="F149" s="19">
        <v>1.75</v>
      </c>
      <c r="G149" s="19">
        <v>2.5</v>
      </c>
      <c r="H149" s="19">
        <v>1</v>
      </c>
      <c r="I149" s="20"/>
      <c r="J149" s="19"/>
      <c r="K149" s="136">
        <f t="shared" si="10"/>
        <v>8.5416666666666661</v>
      </c>
      <c r="L149" s="279">
        <f t="shared" si="6"/>
        <v>2.6035000039573202</v>
      </c>
      <c r="M149" s="279">
        <f t="shared" si="9"/>
        <v>340.78956613479806</v>
      </c>
      <c r="N149" s="1">
        <v>229</v>
      </c>
    </row>
    <row r="150" spans="2:14" x14ac:dyDescent="0.2">
      <c r="B150" s="18" t="s">
        <v>1637</v>
      </c>
      <c r="C150" s="20">
        <v>25.75</v>
      </c>
      <c r="D150" s="19">
        <v>0.875</v>
      </c>
      <c r="E150" s="20">
        <v>13</v>
      </c>
      <c r="F150" s="19">
        <v>1.5625</v>
      </c>
      <c r="G150" s="19">
        <v>2.375</v>
      </c>
      <c r="H150" s="19">
        <v>1</v>
      </c>
      <c r="I150" s="20"/>
      <c r="J150" s="19"/>
      <c r="K150" s="136">
        <f t="shared" si="10"/>
        <v>8.4791666666666661</v>
      </c>
      <c r="L150" s="279">
        <f t="shared" si="6"/>
        <v>2.5844500039283642</v>
      </c>
      <c r="M150" s="279">
        <f t="shared" si="9"/>
        <v>308.04995716114934</v>
      </c>
      <c r="N150" s="1">
        <v>207</v>
      </c>
    </row>
    <row r="151" spans="2:14" x14ac:dyDescent="0.2">
      <c r="B151" s="131" t="s">
        <v>1636</v>
      </c>
      <c r="C151" s="134">
        <v>25.5</v>
      </c>
      <c r="D151" s="133">
        <v>0.8125</v>
      </c>
      <c r="E151" s="134">
        <v>13</v>
      </c>
      <c r="F151" s="133">
        <v>1.4375</v>
      </c>
      <c r="G151" s="133">
        <v>2.25</v>
      </c>
      <c r="H151" s="133">
        <v>1</v>
      </c>
      <c r="I151" s="134"/>
      <c r="J151" s="133"/>
      <c r="K151" s="136">
        <f t="shared" si="10"/>
        <v>8.4479166666666661</v>
      </c>
      <c r="L151" s="279">
        <f t="shared" si="6"/>
        <v>2.574925003913886</v>
      </c>
      <c r="M151" s="279">
        <f t="shared" si="9"/>
        <v>285.72749649729792</v>
      </c>
      <c r="N151" s="1">
        <v>192</v>
      </c>
    </row>
    <row r="152" spans="2:14" x14ac:dyDescent="0.2">
      <c r="B152" s="18" t="s">
        <v>1635</v>
      </c>
      <c r="C152" s="20">
        <v>25.25</v>
      </c>
      <c r="D152" s="19">
        <v>0.75</v>
      </c>
      <c r="E152" s="20">
        <v>12.875</v>
      </c>
      <c r="F152" s="19">
        <v>1.3125</v>
      </c>
      <c r="G152" s="19">
        <v>2.125</v>
      </c>
      <c r="H152" s="19">
        <v>0.9375</v>
      </c>
      <c r="I152" s="20" t="s">
        <v>899</v>
      </c>
      <c r="J152" s="19" t="s">
        <v>899</v>
      </c>
      <c r="K152" s="136">
        <f t="shared" si="10"/>
        <v>8.375</v>
      </c>
      <c r="L152" s="279">
        <f t="shared" si="6"/>
        <v>2.5527000038801044</v>
      </c>
      <c r="M152" s="279">
        <f t="shared" si="9"/>
        <v>261.91687178918977</v>
      </c>
      <c r="N152" s="1">
        <v>176</v>
      </c>
    </row>
    <row r="153" spans="2:14" x14ac:dyDescent="0.2">
      <c r="B153" s="131" t="s">
        <v>940</v>
      </c>
      <c r="C153" s="134">
        <v>25</v>
      </c>
      <c r="D153" s="133">
        <v>0.6875</v>
      </c>
      <c r="E153" s="134">
        <v>13</v>
      </c>
      <c r="F153" s="133">
        <v>1.25</v>
      </c>
      <c r="G153" s="133">
        <v>2</v>
      </c>
      <c r="H153" s="133">
        <v>1.0625</v>
      </c>
      <c r="I153" s="134">
        <v>5.5</v>
      </c>
      <c r="J153" s="133">
        <v>3.25</v>
      </c>
      <c r="K153" s="136">
        <f t="shared" ref="K153:K177" si="11">((C153-(F153*2))*2+(E153*4)+(F153*4)-(D153*2))*12/144</f>
        <v>8.3854166666666661</v>
      </c>
      <c r="L153" s="279">
        <f t="shared" si="6"/>
        <v>2.5558750038849301</v>
      </c>
      <c r="M153" s="279">
        <f t="shared" si="9"/>
        <v>241.08257516959512</v>
      </c>
      <c r="N153" s="1">
        <v>162</v>
      </c>
    </row>
    <row r="154" spans="2:14" x14ac:dyDescent="0.2">
      <c r="B154" s="18" t="s">
        <v>942</v>
      </c>
      <c r="C154" s="20">
        <v>24.75</v>
      </c>
      <c r="D154" s="19">
        <v>0.625</v>
      </c>
      <c r="E154" s="20">
        <v>12.875</v>
      </c>
      <c r="F154" s="19">
        <v>1.0625</v>
      </c>
      <c r="G154" s="19">
        <v>1.875</v>
      </c>
      <c r="H154" s="19">
        <v>1.0625</v>
      </c>
      <c r="I154" s="20">
        <v>5.5</v>
      </c>
      <c r="J154" s="19">
        <v>3.25</v>
      </c>
      <c r="K154" s="136">
        <f t="shared" si="11"/>
        <v>8.3125</v>
      </c>
      <c r="L154" s="279">
        <f t="shared" si="6"/>
        <v>2.5336500038511485</v>
      </c>
      <c r="M154" s="279">
        <f t="shared" si="9"/>
        <v>217.27195046148697</v>
      </c>
      <c r="N154" s="1">
        <v>146</v>
      </c>
    </row>
    <row r="155" spans="2:14" x14ac:dyDescent="0.2">
      <c r="B155" s="131" t="s">
        <v>943</v>
      </c>
      <c r="C155" s="134">
        <v>24.5</v>
      </c>
      <c r="D155" s="133">
        <v>0.625</v>
      </c>
      <c r="E155" s="134">
        <v>12.875</v>
      </c>
      <c r="F155" s="133">
        <v>0.9375</v>
      </c>
      <c r="G155" s="133">
        <v>1.75</v>
      </c>
      <c r="H155" s="133">
        <v>1.0625</v>
      </c>
      <c r="I155" s="134">
        <v>5.5</v>
      </c>
      <c r="J155" s="133">
        <v>3</v>
      </c>
      <c r="K155" s="123">
        <f t="shared" si="11"/>
        <v>8.2708333333333339</v>
      </c>
      <c r="L155" s="279">
        <f t="shared" ref="L155:L218" si="12">K155*3.2808399*0.09290304</f>
        <v>2.5209500038318446</v>
      </c>
      <c r="M155" s="279">
        <f t="shared" si="9"/>
        <v>194.94948979763558</v>
      </c>
      <c r="N155" s="1">
        <v>131</v>
      </c>
    </row>
    <row r="156" spans="2:14" x14ac:dyDescent="0.2">
      <c r="B156" s="18" t="s">
        <v>944</v>
      </c>
      <c r="C156" s="20">
        <v>24.25</v>
      </c>
      <c r="D156" s="19">
        <v>0.5625</v>
      </c>
      <c r="E156" s="20">
        <v>12.75</v>
      </c>
      <c r="F156" s="19">
        <v>0.875</v>
      </c>
      <c r="G156" s="19">
        <v>1.625</v>
      </c>
      <c r="H156" s="19">
        <v>1</v>
      </c>
      <c r="I156" s="20">
        <v>5.5</v>
      </c>
      <c r="J156" s="19">
        <v>3</v>
      </c>
      <c r="K156" s="136">
        <f t="shared" si="11"/>
        <v>8.1979166666666661</v>
      </c>
      <c r="L156" s="279">
        <f t="shared" si="12"/>
        <v>2.4987250037980622</v>
      </c>
      <c r="M156" s="279">
        <f t="shared" si="9"/>
        <v>174.11519317804093</v>
      </c>
      <c r="N156" s="1">
        <v>117</v>
      </c>
    </row>
    <row r="157" spans="2:14" x14ac:dyDescent="0.2">
      <c r="B157" s="18" t="s">
        <v>945</v>
      </c>
      <c r="C157" s="22">
        <v>24</v>
      </c>
      <c r="D157" s="21">
        <v>0.5</v>
      </c>
      <c r="E157" s="22">
        <v>12.75</v>
      </c>
      <c r="F157" s="21">
        <v>0.75</v>
      </c>
      <c r="G157" s="21">
        <v>1.5</v>
      </c>
      <c r="H157" s="21">
        <v>1</v>
      </c>
      <c r="I157" s="22">
        <v>5.5</v>
      </c>
      <c r="J157" s="21">
        <v>2.75</v>
      </c>
      <c r="K157" s="320">
        <f t="shared" si="11"/>
        <v>8.1666666666666661</v>
      </c>
      <c r="L157" s="321">
        <f t="shared" si="12"/>
        <v>2.489200003783584</v>
      </c>
      <c r="M157" s="279">
        <f t="shared" si="9"/>
        <v>154.76906060270306</v>
      </c>
      <c r="N157" s="1">
        <v>104</v>
      </c>
    </row>
    <row r="158" spans="2:14" x14ac:dyDescent="0.2">
      <c r="B158" s="314"/>
      <c r="C158" s="322"/>
      <c r="D158" s="322"/>
      <c r="E158" s="322"/>
      <c r="F158" s="322"/>
      <c r="G158" s="322"/>
      <c r="H158" s="322"/>
      <c r="I158" s="322"/>
      <c r="J158" s="322"/>
      <c r="K158" s="323"/>
      <c r="L158" s="324"/>
      <c r="M158" s="319"/>
      <c r="N158" s="1"/>
    </row>
    <row r="159" spans="2:14" x14ac:dyDescent="0.2">
      <c r="B159" s="131" t="s">
        <v>1704</v>
      </c>
      <c r="C159" s="134">
        <v>24.5</v>
      </c>
      <c r="D159" s="133">
        <v>0.5625</v>
      </c>
      <c r="E159" s="134">
        <v>9</v>
      </c>
      <c r="F159" s="133">
        <v>1</v>
      </c>
      <c r="G159" s="133">
        <v>1.75</v>
      </c>
      <c r="H159" s="133">
        <v>0.8125</v>
      </c>
      <c r="I159" s="160">
        <v>5.5</v>
      </c>
      <c r="J159" s="133"/>
      <c r="K159" s="123">
        <f t="shared" si="11"/>
        <v>6.989583333333333</v>
      </c>
      <c r="L159" s="281">
        <f t="shared" si="12"/>
        <v>2.1304250032382464</v>
      </c>
      <c r="M159" s="279">
        <f t="shared" si="9"/>
        <v>153.28089655844627</v>
      </c>
      <c r="N159" s="1">
        <v>103</v>
      </c>
    </row>
    <row r="160" spans="2:14" x14ac:dyDescent="0.2">
      <c r="B160" s="18" t="s">
        <v>946</v>
      </c>
      <c r="C160" s="20">
        <v>24.25</v>
      </c>
      <c r="D160" s="19">
        <v>0.5</v>
      </c>
      <c r="E160" s="20">
        <v>9.125</v>
      </c>
      <c r="F160" s="19">
        <v>0.875</v>
      </c>
      <c r="G160" s="19">
        <v>1.625</v>
      </c>
      <c r="H160" s="19">
        <v>1</v>
      </c>
      <c r="I160" s="20">
        <v>5.5</v>
      </c>
      <c r="J160" s="19">
        <v>3</v>
      </c>
      <c r="K160" s="136">
        <f t="shared" si="11"/>
        <v>7</v>
      </c>
      <c r="L160" s="279">
        <f t="shared" si="12"/>
        <v>2.1336000032430724</v>
      </c>
      <c r="M160" s="279">
        <f t="shared" si="9"/>
        <v>139.88742016013546</v>
      </c>
      <c r="N160" s="1">
        <v>94</v>
      </c>
    </row>
    <row r="161" spans="2:14" x14ac:dyDescent="0.2">
      <c r="B161" s="131" t="s">
        <v>947</v>
      </c>
      <c r="C161" s="134">
        <v>24.125</v>
      </c>
      <c r="D161" s="133">
        <v>0.5</v>
      </c>
      <c r="E161" s="134">
        <v>9</v>
      </c>
      <c r="F161" s="133">
        <v>0.75</v>
      </c>
      <c r="G161" s="133">
        <v>1.5625</v>
      </c>
      <c r="H161" s="133">
        <v>0.9375</v>
      </c>
      <c r="I161" s="134">
        <v>5.5</v>
      </c>
      <c r="J161" s="133">
        <v>3</v>
      </c>
      <c r="K161" s="123">
        <f t="shared" si="11"/>
        <v>6.9375</v>
      </c>
      <c r="L161" s="279">
        <f t="shared" si="12"/>
        <v>2.1145500032141165</v>
      </c>
      <c r="M161" s="279">
        <f t="shared" si="9"/>
        <v>125.00577971756785</v>
      </c>
      <c r="N161" s="1">
        <v>84</v>
      </c>
    </row>
    <row r="162" spans="2:14" x14ac:dyDescent="0.2">
      <c r="B162" s="18" t="s">
        <v>948</v>
      </c>
      <c r="C162" s="20">
        <v>23.875</v>
      </c>
      <c r="D162" s="19">
        <v>0.4375</v>
      </c>
      <c r="E162" s="20">
        <v>9</v>
      </c>
      <c r="F162" s="19">
        <v>0.6875</v>
      </c>
      <c r="G162" s="19">
        <v>1.4375</v>
      </c>
      <c r="H162" s="19">
        <v>0.9375</v>
      </c>
      <c r="I162" s="20">
        <v>5.5</v>
      </c>
      <c r="J162" s="19">
        <v>2.75</v>
      </c>
      <c r="K162" s="136">
        <f t="shared" si="11"/>
        <v>6.90625</v>
      </c>
      <c r="L162" s="279">
        <f t="shared" si="12"/>
        <v>2.1050250031996383</v>
      </c>
      <c r="M162" s="279">
        <f t="shared" si="9"/>
        <v>113.10046736351376</v>
      </c>
      <c r="N162" s="1">
        <v>76</v>
      </c>
    </row>
    <row r="163" spans="2:14" x14ac:dyDescent="0.2">
      <c r="B163" s="18" t="s">
        <v>949</v>
      </c>
      <c r="C163" s="22">
        <v>23.75</v>
      </c>
      <c r="D163" s="21">
        <v>0.4375</v>
      </c>
      <c r="E163" s="22">
        <v>9</v>
      </c>
      <c r="F163" s="21">
        <v>0.5625</v>
      </c>
      <c r="G163" s="21">
        <v>1.375</v>
      </c>
      <c r="H163" s="21">
        <v>0.9375</v>
      </c>
      <c r="I163" s="22">
        <v>5.5</v>
      </c>
      <c r="J163" s="21">
        <v>2.75</v>
      </c>
      <c r="K163" s="320">
        <f t="shared" si="11"/>
        <v>6.885416666666667</v>
      </c>
      <c r="L163" s="321">
        <f t="shared" si="12"/>
        <v>2.0986750031899866</v>
      </c>
      <c r="M163" s="279">
        <f t="shared" si="9"/>
        <v>101.1951550094597</v>
      </c>
      <c r="N163" s="1">
        <v>68</v>
      </c>
    </row>
    <row r="164" spans="2:14" x14ac:dyDescent="0.2">
      <c r="B164" s="318"/>
      <c r="C164" s="322"/>
      <c r="D164" s="322"/>
      <c r="E164" s="322"/>
      <c r="F164" s="322"/>
      <c r="G164" s="322"/>
      <c r="H164" s="322"/>
      <c r="I164" s="322"/>
      <c r="J164" s="322"/>
      <c r="K164" s="323"/>
      <c r="L164" s="324"/>
      <c r="M164" s="319"/>
      <c r="N164" s="1"/>
    </row>
    <row r="165" spans="2:14" x14ac:dyDescent="0.2">
      <c r="B165" s="18" t="s">
        <v>950</v>
      </c>
      <c r="C165" s="160">
        <v>23.75</v>
      </c>
      <c r="D165" s="135">
        <v>0.4375</v>
      </c>
      <c r="E165" s="160">
        <v>7</v>
      </c>
      <c r="F165" s="135">
        <v>0.5625</v>
      </c>
      <c r="G165" s="135">
        <v>1.375</v>
      </c>
      <c r="H165" s="135">
        <v>0.9375</v>
      </c>
      <c r="I165" s="160">
        <v>3.5</v>
      </c>
      <c r="J165" s="135">
        <v>2.75</v>
      </c>
      <c r="K165" s="123">
        <f t="shared" si="11"/>
        <v>6.21875</v>
      </c>
      <c r="L165" s="281">
        <f t="shared" si="12"/>
        <v>1.8954750028811223</v>
      </c>
      <c r="M165" s="279">
        <f t="shared" si="9"/>
        <v>92.266170743919119</v>
      </c>
      <c r="N165" s="1">
        <v>62</v>
      </c>
    </row>
    <row r="166" spans="2:14" x14ac:dyDescent="0.2">
      <c r="B166" s="18" t="s">
        <v>951</v>
      </c>
      <c r="C166" s="22">
        <v>23.625</v>
      </c>
      <c r="D166" s="21">
        <v>0.375</v>
      </c>
      <c r="E166" s="22">
        <v>7</v>
      </c>
      <c r="F166" s="21">
        <v>0.5</v>
      </c>
      <c r="G166" s="21">
        <v>1.3125</v>
      </c>
      <c r="H166" s="21">
        <v>0.9375</v>
      </c>
      <c r="I166" s="22">
        <v>3.5</v>
      </c>
      <c r="J166" s="21">
        <v>2.75</v>
      </c>
      <c r="K166" s="325">
        <f t="shared" si="11"/>
        <v>6.208333333333333</v>
      </c>
      <c r="L166" s="321">
        <f t="shared" si="12"/>
        <v>1.8923000028762962</v>
      </c>
      <c r="M166" s="279">
        <f t="shared" si="9"/>
        <v>81.849022434121807</v>
      </c>
      <c r="N166" s="1">
        <v>55</v>
      </c>
    </row>
    <row r="167" spans="2:14" x14ac:dyDescent="0.2">
      <c r="B167" s="314"/>
      <c r="C167" s="322"/>
      <c r="D167" s="322"/>
      <c r="E167" s="322"/>
      <c r="F167" s="322"/>
      <c r="G167" s="322"/>
      <c r="H167" s="322"/>
      <c r="I167" s="322"/>
      <c r="J167" s="322"/>
      <c r="K167" s="323"/>
      <c r="L167" s="324"/>
      <c r="M167" s="319"/>
      <c r="N167" s="1"/>
    </row>
    <row r="168" spans="2:14" x14ac:dyDescent="0.2">
      <c r="B168" s="155" t="s">
        <v>1656</v>
      </c>
      <c r="C168" s="162">
        <v>26</v>
      </c>
      <c r="D168" s="163">
        <v>1.75</v>
      </c>
      <c r="E168" s="162">
        <v>13.375</v>
      </c>
      <c r="F168" s="163">
        <v>3.125</v>
      </c>
      <c r="G168" s="163">
        <v>3.875</v>
      </c>
      <c r="H168" s="163">
        <v>1.4375</v>
      </c>
      <c r="I168" s="162"/>
      <c r="J168" s="163"/>
      <c r="K168" s="154">
        <f t="shared" si="11"/>
        <v>8.5</v>
      </c>
      <c r="L168" s="277">
        <f t="shared" si="12"/>
        <v>2.5908000039380163</v>
      </c>
      <c r="M168" s="278">
        <f t="shared" si="9"/>
        <v>598.24194579121752</v>
      </c>
      <c r="N168" s="1">
        <v>402</v>
      </c>
    </row>
    <row r="169" spans="2:14" x14ac:dyDescent="0.2">
      <c r="B169" s="155" t="s">
        <v>1655</v>
      </c>
      <c r="C169" s="156">
        <v>25.5</v>
      </c>
      <c r="D169" s="157">
        <v>1.5625</v>
      </c>
      <c r="E169" s="156">
        <v>13.25</v>
      </c>
      <c r="F169" s="157">
        <v>2.875</v>
      </c>
      <c r="G169" s="157">
        <v>3.625</v>
      </c>
      <c r="H169" s="157">
        <v>1.375</v>
      </c>
      <c r="I169" s="156"/>
      <c r="J169" s="157"/>
      <c r="K169" s="158">
        <f t="shared" si="11"/>
        <v>8.40625</v>
      </c>
      <c r="L169" s="278">
        <f t="shared" si="12"/>
        <v>2.5622250038945822</v>
      </c>
      <c r="M169" s="278">
        <f t="shared" si="9"/>
        <v>541.6917121094607</v>
      </c>
      <c r="N169" s="1">
        <v>364</v>
      </c>
    </row>
    <row r="170" spans="2:14" x14ac:dyDescent="0.2">
      <c r="B170" s="155" t="s">
        <v>1654</v>
      </c>
      <c r="C170" s="156">
        <v>25</v>
      </c>
      <c r="D170" s="157">
        <v>1.4375</v>
      </c>
      <c r="E170" s="156">
        <v>13.125</v>
      </c>
      <c r="F170" s="157">
        <v>2.625</v>
      </c>
      <c r="G170" s="157">
        <v>3.375</v>
      </c>
      <c r="H170" s="157">
        <v>1.3125</v>
      </c>
      <c r="I170" s="156"/>
      <c r="J170" s="157"/>
      <c r="K170" s="158">
        <f t="shared" si="11"/>
        <v>8.3020833333333339</v>
      </c>
      <c r="L170" s="278">
        <f t="shared" si="12"/>
        <v>2.5304750038463224</v>
      </c>
      <c r="M170" s="278">
        <f t="shared" si="9"/>
        <v>495.55862673750107</v>
      </c>
      <c r="N170" s="1">
        <v>333</v>
      </c>
    </row>
    <row r="171" spans="2:14" x14ac:dyDescent="0.2">
      <c r="B171" s="155" t="s">
        <v>1653</v>
      </c>
      <c r="C171" s="156">
        <v>24.5</v>
      </c>
      <c r="D171" s="157">
        <v>1.3125</v>
      </c>
      <c r="E171" s="156">
        <v>13</v>
      </c>
      <c r="F171" s="157">
        <v>2.375</v>
      </c>
      <c r="G171" s="157">
        <v>3.125</v>
      </c>
      <c r="H171" s="157">
        <v>1.25</v>
      </c>
      <c r="I171" s="156"/>
      <c r="J171" s="157"/>
      <c r="K171" s="158">
        <f t="shared" si="11"/>
        <v>8.1979166666666661</v>
      </c>
      <c r="L171" s="278">
        <f t="shared" si="12"/>
        <v>2.4987250037980622</v>
      </c>
      <c r="M171" s="278">
        <f t="shared" si="9"/>
        <v>446.44921327702804</v>
      </c>
      <c r="N171" s="1">
        <v>300</v>
      </c>
    </row>
    <row r="172" spans="2:14" x14ac:dyDescent="0.2">
      <c r="B172" s="155" t="s">
        <v>1652</v>
      </c>
      <c r="C172" s="156">
        <v>24.125</v>
      </c>
      <c r="D172" s="157">
        <v>1.25</v>
      </c>
      <c r="E172" s="156">
        <v>12.875</v>
      </c>
      <c r="F172" s="157">
        <v>2.1875</v>
      </c>
      <c r="G172" s="157">
        <v>3</v>
      </c>
      <c r="H172" s="157">
        <v>1.1875</v>
      </c>
      <c r="I172" s="156"/>
      <c r="J172" s="157"/>
      <c r="K172" s="158">
        <f t="shared" si="11"/>
        <v>8.1041666666666661</v>
      </c>
      <c r="L172" s="278">
        <f t="shared" si="12"/>
        <v>2.470150003754628</v>
      </c>
      <c r="M172" s="278">
        <f t="shared" si="9"/>
        <v>409.24511217060899</v>
      </c>
      <c r="N172" s="1">
        <v>275</v>
      </c>
    </row>
    <row r="173" spans="2:14" x14ac:dyDescent="0.2">
      <c r="B173" s="155" t="s">
        <v>1651</v>
      </c>
      <c r="C173" s="156">
        <v>23.75</v>
      </c>
      <c r="D173" s="157">
        <v>1.125</v>
      </c>
      <c r="E173" s="156">
        <v>12.75</v>
      </c>
      <c r="F173" s="157">
        <v>2</v>
      </c>
      <c r="G173" s="157">
        <v>2.75</v>
      </c>
      <c r="H173" s="157">
        <v>1.125</v>
      </c>
      <c r="I173" s="156"/>
      <c r="J173" s="157"/>
      <c r="K173" s="158">
        <f t="shared" si="11"/>
        <v>8.0208333333333339</v>
      </c>
      <c r="L173" s="278">
        <f t="shared" si="12"/>
        <v>2.4447500037160204</v>
      </c>
      <c r="M173" s="278">
        <f t="shared" si="9"/>
        <v>369.06468297567648</v>
      </c>
      <c r="N173" s="1">
        <v>248</v>
      </c>
    </row>
    <row r="174" spans="2:14" x14ac:dyDescent="0.2">
      <c r="B174" s="155" t="s">
        <v>1650</v>
      </c>
      <c r="C174" s="156">
        <v>23.375</v>
      </c>
      <c r="D174" s="157">
        <v>1</v>
      </c>
      <c r="E174" s="156">
        <v>12.625</v>
      </c>
      <c r="F174" s="157">
        <v>1.8125</v>
      </c>
      <c r="G174" s="157">
        <v>2.5625</v>
      </c>
      <c r="H174" s="157">
        <v>1.0625</v>
      </c>
      <c r="I174" s="156"/>
      <c r="J174" s="157"/>
      <c r="K174" s="158">
        <f t="shared" si="11"/>
        <v>7.9375</v>
      </c>
      <c r="L174" s="278">
        <f t="shared" si="12"/>
        <v>2.4193500036774123</v>
      </c>
      <c r="M174" s="278">
        <f t="shared" si="9"/>
        <v>331.86058186925749</v>
      </c>
      <c r="N174" s="1">
        <v>223</v>
      </c>
    </row>
    <row r="175" spans="2:14" x14ac:dyDescent="0.2">
      <c r="B175" s="155" t="s">
        <v>1649</v>
      </c>
      <c r="C175" s="156">
        <v>23</v>
      </c>
      <c r="D175" s="157">
        <v>0.9375</v>
      </c>
      <c r="E175" s="156">
        <v>12.625</v>
      </c>
      <c r="F175" s="157">
        <v>1.625</v>
      </c>
      <c r="G175" s="157">
        <v>2.375</v>
      </c>
      <c r="H175" s="157">
        <v>1</v>
      </c>
      <c r="I175" s="156"/>
      <c r="J175" s="157"/>
      <c r="K175" s="158">
        <f t="shared" si="11"/>
        <v>7.885416666666667</v>
      </c>
      <c r="L175" s="278">
        <f t="shared" si="12"/>
        <v>2.4034750036532824</v>
      </c>
      <c r="M175" s="278">
        <f t="shared" si="9"/>
        <v>299.12097289560876</v>
      </c>
      <c r="N175" s="1">
        <v>201</v>
      </c>
    </row>
    <row r="176" spans="2:14" x14ac:dyDescent="0.2">
      <c r="B176" s="172" t="s">
        <v>1648</v>
      </c>
      <c r="C176" s="173">
        <v>22.75</v>
      </c>
      <c r="D176" s="174">
        <v>0.8125</v>
      </c>
      <c r="E176" s="173">
        <v>12.5</v>
      </c>
      <c r="F176" s="174">
        <v>1.5</v>
      </c>
      <c r="G176" s="174">
        <v>2.25</v>
      </c>
      <c r="H176" s="174">
        <v>1</v>
      </c>
      <c r="I176" s="173"/>
      <c r="J176" s="174"/>
      <c r="K176" s="158">
        <f t="shared" si="11"/>
        <v>7.822916666666667</v>
      </c>
      <c r="L176" s="278">
        <f t="shared" si="12"/>
        <v>2.3844250036243264</v>
      </c>
      <c r="M176" s="278">
        <f t="shared" si="9"/>
        <v>270.84585605473035</v>
      </c>
      <c r="N176" s="1">
        <v>182</v>
      </c>
    </row>
    <row r="177" spans="2:14" x14ac:dyDescent="0.2">
      <c r="B177" s="18" t="s">
        <v>1647</v>
      </c>
      <c r="C177" s="20">
        <v>22.5</v>
      </c>
      <c r="D177" s="19">
        <v>0.75</v>
      </c>
      <c r="E177" s="20">
        <v>12.375</v>
      </c>
      <c r="F177" s="19">
        <v>1.375</v>
      </c>
      <c r="G177" s="19">
        <v>2.125</v>
      </c>
      <c r="H177" s="19">
        <v>0.9375</v>
      </c>
      <c r="I177" s="20" t="s">
        <v>899</v>
      </c>
      <c r="J177" s="19" t="s">
        <v>899</v>
      </c>
      <c r="K177" s="136">
        <f t="shared" si="11"/>
        <v>7.75</v>
      </c>
      <c r="L177" s="279">
        <f t="shared" si="12"/>
        <v>2.3622000035905444</v>
      </c>
      <c r="M177" s="279">
        <f t="shared" si="9"/>
        <v>247.0352313466222</v>
      </c>
      <c r="N177" s="1">
        <v>166</v>
      </c>
    </row>
    <row r="178" spans="2:14" x14ac:dyDescent="0.2">
      <c r="B178" s="131" t="s">
        <v>952</v>
      </c>
      <c r="C178" s="134">
        <v>22</v>
      </c>
      <c r="D178" s="133">
        <v>0.75</v>
      </c>
      <c r="E178" s="134">
        <v>12.5</v>
      </c>
      <c r="F178" s="133">
        <v>1.125</v>
      </c>
      <c r="G178" s="133">
        <v>1.875</v>
      </c>
      <c r="H178" s="133">
        <v>1.0625</v>
      </c>
      <c r="I178" s="134">
        <v>5.5</v>
      </c>
      <c r="J178" s="133">
        <v>3.25</v>
      </c>
      <c r="K178" s="123">
        <f t="shared" ref="K178:K203" si="13">((C178-(F178*2))*2+(E178*4)+(F178*4)-(D178*2))*12/144</f>
        <v>7.708333333333333</v>
      </c>
      <c r="L178" s="279">
        <f t="shared" si="12"/>
        <v>2.3495000035712401</v>
      </c>
      <c r="M178" s="279">
        <f t="shared" si="9"/>
        <v>218.76011450574376</v>
      </c>
      <c r="N178" s="1">
        <v>147</v>
      </c>
    </row>
    <row r="179" spans="2:14" x14ac:dyDescent="0.2">
      <c r="B179" s="18" t="s">
        <v>953</v>
      </c>
      <c r="C179" s="20">
        <v>21.875</v>
      </c>
      <c r="D179" s="19">
        <v>0.625</v>
      </c>
      <c r="E179" s="20">
        <v>12.5</v>
      </c>
      <c r="F179" s="19">
        <v>1.0625</v>
      </c>
      <c r="G179" s="19">
        <v>1.8125</v>
      </c>
      <c r="H179" s="19">
        <v>1</v>
      </c>
      <c r="I179" s="20">
        <v>5.5</v>
      </c>
      <c r="J179" s="19">
        <v>3</v>
      </c>
      <c r="K179" s="136">
        <f t="shared" si="13"/>
        <v>7.708333333333333</v>
      </c>
      <c r="L179" s="279">
        <f t="shared" si="12"/>
        <v>2.3495000035712401</v>
      </c>
      <c r="M179" s="279">
        <f t="shared" si="9"/>
        <v>196.43765384189234</v>
      </c>
      <c r="N179" s="1">
        <v>132</v>
      </c>
    </row>
    <row r="180" spans="2:14" x14ac:dyDescent="0.2">
      <c r="B180" s="131" t="s">
        <v>954</v>
      </c>
      <c r="C180" s="134">
        <v>21.625</v>
      </c>
      <c r="D180" s="133">
        <v>0.625</v>
      </c>
      <c r="E180" s="134">
        <v>12.375</v>
      </c>
      <c r="F180" s="133">
        <v>0.9375</v>
      </c>
      <c r="G180" s="133">
        <v>1.6875</v>
      </c>
      <c r="H180" s="133">
        <v>1</v>
      </c>
      <c r="I180" s="134">
        <v>5.5</v>
      </c>
      <c r="J180" s="133">
        <v>3</v>
      </c>
      <c r="K180" s="123">
        <f t="shared" si="13"/>
        <v>7.625</v>
      </c>
      <c r="L180" s="279">
        <f t="shared" si="12"/>
        <v>2.3241000035326325</v>
      </c>
      <c r="M180" s="279">
        <f t="shared" si="9"/>
        <v>181.55601339932474</v>
      </c>
      <c r="N180" s="1">
        <v>122</v>
      </c>
    </row>
    <row r="181" spans="2:14" x14ac:dyDescent="0.2">
      <c r="B181" s="18" t="s">
        <v>955</v>
      </c>
      <c r="C181" s="20">
        <v>21.5</v>
      </c>
      <c r="D181" s="19">
        <v>0.5625</v>
      </c>
      <c r="E181" s="20">
        <v>12.375</v>
      </c>
      <c r="F181" s="19">
        <v>0.875</v>
      </c>
      <c r="G181" s="19">
        <v>1.625</v>
      </c>
      <c r="H181" s="19">
        <v>0.9375</v>
      </c>
      <c r="I181" s="20">
        <v>5.5</v>
      </c>
      <c r="J181" s="19">
        <v>2.75</v>
      </c>
      <c r="K181" s="136">
        <f t="shared" si="13"/>
        <v>7.614583333333333</v>
      </c>
      <c r="L181" s="279">
        <f t="shared" si="12"/>
        <v>2.3209250035278064</v>
      </c>
      <c r="M181" s="279">
        <f t="shared" si="9"/>
        <v>165.18620891250038</v>
      </c>
      <c r="N181" s="1">
        <v>111</v>
      </c>
    </row>
    <row r="182" spans="2:14" x14ac:dyDescent="0.2">
      <c r="B182" s="18" t="s">
        <v>956</v>
      </c>
      <c r="C182" s="22">
        <v>21.375</v>
      </c>
      <c r="D182" s="21">
        <v>0.5</v>
      </c>
      <c r="E182" s="22">
        <v>12.25</v>
      </c>
      <c r="F182" s="21">
        <v>0.8125</v>
      </c>
      <c r="G182" s="21">
        <v>1.5625</v>
      </c>
      <c r="H182" s="21">
        <v>0.9375</v>
      </c>
      <c r="I182" s="22">
        <v>5.5</v>
      </c>
      <c r="J182" s="21">
        <v>2.75</v>
      </c>
      <c r="K182" s="320">
        <f t="shared" si="13"/>
        <v>7.5625</v>
      </c>
      <c r="L182" s="321">
        <f t="shared" si="12"/>
        <v>2.3050500035036765</v>
      </c>
      <c r="M182" s="279">
        <f t="shared" si="9"/>
        <v>150.30456846993278</v>
      </c>
      <c r="N182" s="1">
        <v>101</v>
      </c>
    </row>
    <row r="183" spans="2:14" x14ac:dyDescent="0.2">
      <c r="B183" s="318"/>
      <c r="C183" s="322"/>
      <c r="D183" s="322"/>
      <c r="E183" s="322"/>
      <c r="F183" s="322"/>
      <c r="G183" s="322"/>
      <c r="H183" s="322"/>
      <c r="I183" s="322"/>
      <c r="J183" s="322"/>
      <c r="K183" s="323"/>
      <c r="L183" s="324"/>
      <c r="M183" s="319"/>
      <c r="N183" s="1"/>
    </row>
    <row r="184" spans="2:14" x14ac:dyDescent="0.2">
      <c r="B184" s="18" t="s">
        <v>957</v>
      </c>
      <c r="C184" s="160">
        <v>21.625</v>
      </c>
      <c r="D184" s="135">
        <v>0.5625</v>
      </c>
      <c r="E184" s="160">
        <v>8.375</v>
      </c>
      <c r="F184" s="135">
        <v>0.9375</v>
      </c>
      <c r="G184" s="135">
        <v>1.6875</v>
      </c>
      <c r="H184" s="135">
        <v>1</v>
      </c>
      <c r="I184" s="160">
        <v>5.5</v>
      </c>
      <c r="J184" s="135">
        <v>3</v>
      </c>
      <c r="K184" s="123">
        <f t="shared" si="13"/>
        <v>6.302083333333333</v>
      </c>
      <c r="L184" s="281">
        <f t="shared" si="12"/>
        <v>1.9208750029197301</v>
      </c>
      <c r="M184" s="279">
        <f t="shared" ref="M184:M246" si="14">N184*3.2808399*0.4535924</f>
        <v>138.39925611587867</v>
      </c>
      <c r="N184" s="1">
        <v>93</v>
      </c>
    </row>
    <row r="185" spans="2:14" x14ac:dyDescent="0.2">
      <c r="B185" s="131" t="s">
        <v>964</v>
      </c>
      <c r="C185" s="134">
        <v>21.375</v>
      </c>
      <c r="D185" s="133">
        <v>0.5</v>
      </c>
      <c r="E185" s="134">
        <v>8.375</v>
      </c>
      <c r="F185" s="133">
        <v>0.8125</v>
      </c>
      <c r="G185" s="133">
        <v>1.5625</v>
      </c>
      <c r="H185" s="133">
        <v>0.9375</v>
      </c>
      <c r="I185" s="134">
        <v>5.5</v>
      </c>
      <c r="J185" s="133">
        <v>2.75</v>
      </c>
      <c r="K185" s="123">
        <f t="shared" si="13"/>
        <v>6.270833333333333</v>
      </c>
      <c r="L185" s="279">
        <f t="shared" si="12"/>
        <v>1.9113500029052521</v>
      </c>
      <c r="M185" s="279">
        <f t="shared" si="14"/>
        <v>123.5176156733111</v>
      </c>
      <c r="N185" s="1">
        <v>83</v>
      </c>
    </row>
    <row r="186" spans="2:14" x14ac:dyDescent="0.2">
      <c r="B186" s="18" t="s">
        <v>958</v>
      </c>
      <c r="C186" s="20">
        <v>21.25</v>
      </c>
      <c r="D186" s="19">
        <v>0.4375</v>
      </c>
      <c r="E186" s="20">
        <v>8.25</v>
      </c>
      <c r="F186" s="19">
        <v>0.75</v>
      </c>
      <c r="G186" s="19">
        <v>1.5</v>
      </c>
      <c r="H186" s="19">
        <v>0.9375</v>
      </c>
      <c r="I186" s="20">
        <v>5.5</v>
      </c>
      <c r="J186" s="19">
        <v>2.75</v>
      </c>
      <c r="K186" s="136">
        <f t="shared" si="13"/>
        <v>6.21875</v>
      </c>
      <c r="L186" s="279">
        <f t="shared" si="12"/>
        <v>1.8954750028811223</v>
      </c>
      <c r="M186" s="279">
        <f t="shared" si="14"/>
        <v>108.63597523074348</v>
      </c>
      <c r="N186" s="1">
        <v>73</v>
      </c>
    </row>
    <row r="187" spans="2:14" x14ac:dyDescent="0.2">
      <c r="B187" s="131" t="s">
        <v>959</v>
      </c>
      <c r="C187" s="134">
        <v>21.125</v>
      </c>
      <c r="D187" s="133">
        <v>0.4375</v>
      </c>
      <c r="E187" s="134">
        <v>8.25</v>
      </c>
      <c r="F187" s="133">
        <v>0.6875</v>
      </c>
      <c r="G187" s="133">
        <v>1.4375</v>
      </c>
      <c r="H187" s="133">
        <v>0.875</v>
      </c>
      <c r="I187" s="134">
        <v>5.5</v>
      </c>
      <c r="J187" s="133">
        <v>2.75</v>
      </c>
      <c r="K187" s="123">
        <f t="shared" si="13"/>
        <v>6.197916666666667</v>
      </c>
      <c r="L187" s="279">
        <f t="shared" si="12"/>
        <v>1.8891250028714703</v>
      </c>
      <c r="M187" s="279">
        <f t="shared" si="14"/>
        <v>101.1951550094597</v>
      </c>
      <c r="N187" s="1">
        <v>68</v>
      </c>
    </row>
    <row r="188" spans="2:14" x14ac:dyDescent="0.2">
      <c r="B188" s="18" t="s">
        <v>960</v>
      </c>
      <c r="C188" s="22">
        <v>21</v>
      </c>
      <c r="D188" s="21">
        <v>0.375</v>
      </c>
      <c r="E188" s="22">
        <v>8.25</v>
      </c>
      <c r="F188" s="21">
        <v>0.625</v>
      </c>
      <c r="G188" s="21">
        <v>1.375</v>
      </c>
      <c r="H188" s="21">
        <v>0.875</v>
      </c>
      <c r="I188" s="22">
        <v>5.5</v>
      </c>
      <c r="J188" s="21">
        <v>2.5</v>
      </c>
      <c r="K188" s="325">
        <f t="shared" si="13"/>
        <v>6.1875</v>
      </c>
      <c r="L188" s="321">
        <f t="shared" si="12"/>
        <v>1.8859500028666443</v>
      </c>
      <c r="M188" s="279">
        <f t="shared" si="14"/>
        <v>92.266170743919119</v>
      </c>
      <c r="N188" s="1">
        <v>62</v>
      </c>
    </row>
    <row r="189" spans="2:14" x14ac:dyDescent="0.2">
      <c r="B189" s="314"/>
      <c r="C189" s="322"/>
      <c r="D189" s="322"/>
      <c r="E189" s="322"/>
      <c r="F189" s="322"/>
      <c r="G189" s="322"/>
      <c r="H189" s="322"/>
      <c r="I189" s="322"/>
      <c r="J189" s="322"/>
      <c r="K189" s="323"/>
      <c r="L189" s="324"/>
      <c r="M189" s="319"/>
      <c r="N189" s="1"/>
    </row>
    <row r="190" spans="2:14" x14ac:dyDescent="0.2">
      <c r="B190" s="131" t="s">
        <v>961</v>
      </c>
      <c r="C190" s="134">
        <v>21</v>
      </c>
      <c r="D190" s="133">
        <v>0.375</v>
      </c>
      <c r="E190" s="134">
        <v>6.5</v>
      </c>
      <c r="F190" s="133">
        <v>0.625</v>
      </c>
      <c r="G190" s="133">
        <v>1.375</v>
      </c>
      <c r="H190" s="133">
        <v>0.875</v>
      </c>
      <c r="I190" s="134">
        <v>3.5</v>
      </c>
      <c r="J190" s="133">
        <v>2.75</v>
      </c>
      <c r="K190" s="123">
        <f t="shared" si="13"/>
        <v>5.604166666666667</v>
      </c>
      <c r="L190" s="281">
        <f t="shared" si="12"/>
        <v>1.7081500025963881</v>
      </c>
      <c r="M190" s="279">
        <f t="shared" si="14"/>
        <v>84.825350522635318</v>
      </c>
      <c r="N190" s="1">
        <v>57</v>
      </c>
    </row>
    <row r="191" spans="2:14" x14ac:dyDescent="0.2">
      <c r="B191" s="18" t="s">
        <v>962</v>
      </c>
      <c r="C191" s="20">
        <v>20.875</v>
      </c>
      <c r="D191" s="19">
        <v>0.375</v>
      </c>
      <c r="E191" s="20">
        <v>6.5</v>
      </c>
      <c r="F191" s="19">
        <v>0.5625</v>
      </c>
      <c r="G191" s="19">
        <v>1.3125</v>
      </c>
      <c r="H191" s="19">
        <v>0.875</v>
      </c>
      <c r="I191" s="20">
        <v>3.5</v>
      </c>
      <c r="J191" s="19">
        <v>2.5</v>
      </c>
      <c r="K191" s="136">
        <f t="shared" si="13"/>
        <v>5.583333333333333</v>
      </c>
      <c r="L191" s="279">
        <f t="shared" si="12"/>
        <v>1.7018000025867361</v>
      </c>
      <c r="M191" s="279">
        <f t="shared" si="14"/>
        <v>74.408202212838006</v>
      </c>
      <c r="N191" s="1">
        <v>50</v>
      </c>
    </row>
    <row r="192" spans="2:14" x14ac:dyDescent="0.2">
      <c r="B192" s="18" t="s">
        <v>963</v>
      </c>
      <c r="C192" s="22">
        <v>20.625</v>
      </c>
      <c r="D192" s="21">
        <v>0.375</v>
      </c>
      <c r="E192" s="22">
        <v>6.5</v>
      </c>
      <c r="F192" s="21">
        <v>0.4375</v>
      </c>
      <c r="G192" s="21">
        <v>1.1875</v>
      </c>
      <c r="H192" s="21">
        <v>0.875</v>
      </c>
      <c r="I192" s="22">
        <v>3.5</v>
      </c>
      <c r="J192" s="21">
        <v>2.5</v>
      </c>
      <c r="K192" s="320">
        <f t="shared" si="13"/>
        <v>5.541666666666667</v>
      </c>
      <c r="L192" s="321">
        <f t="shared" si="12"/>
        <v>1.6891000025674321</v>
      </c>
      <c r="M192" s="279">
        <f t="shared" si="14"/>
        <v>65.479217947297442</v>
      </c>
      <c r="N192" s="1">
        <v>44</v>
      </c>
    </row>
    <row r="193" spans="2:14" x14ac:dyDescent="0.2">
      <c r="B193" s="314"/>
      <c r="C193" s="322"/>
      <c r="D193" s="322"/>
      <c r="E193" s="322"/>
      <c r="F193" s="322"/>
      <c r="G193" s="322"/>
      <c r="H193" s="322"/>
      <c r="I193" s="322"/>
      <c r="J193" s="322"/>
      <c r="K193" s="323"/>
      <c r="L193" s="324"/>
      <c r="M193" s="319"/>
      <c r="N193" s="1"/>
    </row>
    <row r="194" spans="2:14" x14ac:dyDescent="0.2">
      <c r="B194" s="18" t="s">
        <v>1666</v>
      </c>
      <c r="C194" s="160">
        <v>22.375</v>
      </c>
      <c r="D194" s="135">
        <v>1.5</v>
      </c>
      <c r="E194" s="160">
        <v>12</v>
      </c>
      <c r="F194" s="135">
        <v>2.75</v>
      </c>
      <c r="G194" s="135">
        <v>3.4375</v>
      </c>
      <c r="H194" s="135">
        <v>1.1875</v>
      </c>
      <c r="I194" s="160"/>
      <c r="J194" s="135"/>
      <c r="K194" s="123">
        <f t="shared" si="13"/>
        <v>7.479166666666667</v>
      </c>
      <c r="L194" s="281">
        <f t="shared" si="12"/>
        <v>2.2796500034650684</v>
      </c>
      <c r="M194" s="279">
        <f t="shared" si="14"/>
        <v>462.8190177638524</v>
      </c>
      <c r="N194" s="1">
        <v>311</v>
      </c>
    </row>
    <row r="195" spans="2:14" x14ac:dyDescent="0.2">
      <c r="B195" s="18" t="s">
        <v>1665</v>
      </c>
      <c r="C195" s="20">
        <v>21.875</v>
      </c>
      <c r="D195" s="19">
        <v>1.375</v>
      </c>
      <c r="E195" s="20">
        <v>11.875</v>
      </c>
      <c r="F195" s="19">
        <v>2.5</v>
      </c>
      <c r="G195" s="19">
        <v>3.1875</v>
      </c>
      <c r="H195" s="19">
        <v>1.1875</v>
      </c>
      <c r="I195" s="20"/>
      <c r="J195" s="19"/>
      <c r="K195" s="123">
        <f t="shared" si="13"/>
        <v>7.375</v>
      </c>
      <c r="L195" s="279">
        <f t="shared" si="12"/>
        <v>2.2479000034168082</v>
      </c>
      <c r="M195" s="279">
        <f t="shared" si="14"/>
        <v>421.15042452466309</v>
      </c>
      <c r="N195" s="1">
        <v>283</v>
      </c>
    </row>
    <row r="196" spans="2:14" x14ac:dyDescent="0.2">
      <c r="B196" s="18" t="s">
        <v>1664</v>
      </c>
      <c r="C196" s="20">
        <v>21.5</v>
      </c>
      <c r="D196" s="19">
        <v>1.25</v>
      </c>
      <c r="E196" s="20">
        <v>11.75</v>
      </c>
      <c r="F196" s="19">
        <v>2.3125</v>
      </c>
      <c r="G196" s="19">
        <v>3</v>
      </c>
      <c r="H196" s="19">
        <v>1.125</v>
      </c>
      <c r="I196" s="20"/>
      <c r="J196" s="19"/>
      <c r="K196" s="123">
        <f t="shared" si="13"/>
        <v>7.291666666666667</v>
      </c>
      <c r="L196" s="279">
        <f t="shared" si="12"/>
        <v>2.2225000033782001</v>
      </c>
      <c r="M196" s="279">
        <f t="shared" si="14"/>
        <v>383.94632341824411</v>
      </c>
      <c r="N196" s="1">
        <v>258</v>
      </c>
    </row>
    <row r="197" spans="2:14" x14ac:dyDescent="0.2">
      <c r="B197" s="18" t="s">
        <v>1663</v>
      </c>
      <c r="C197" s="20">
        <v>21</v>
      </c>
      <c r="D197" s="19">
        <v>1.1875</v>
      </c>
      <c r="E197" s="20">
        <v>11.625</v>
      </c>
      <c r="F197" s="19">
        <v>2.125</v>
      </c>
      <c r="G197" s="19">
        <v>2.75</v>
      </c>
      <c r="H197" s="19">
        <v>1</v>
      </c>
      <c r="I197" s="20"/>
      <c r="J197" s="19"/>
      <c r="K197" s="123">
        <f t="shared" si="13"/>
        <v>7.177083333333333</v>
      </c>
      <c r="L197" s="279">
        <f t="shared" si="12"/>
        <v>2.1875750033251142</v>
      </c>
      <c r="M197" s="279">
        <f t="shared" si="14"/>
        <v>348.23038635608185</v>
      </c>
      <c r="N197" s="1">
        <v>234</v>
      </c>
    </row>
    <row r="198" spans="2:14" x14ac:dyDescent="0.2">
      <c r="B198" s="18" t="s">
        <v>1662</v>
      </c>
      <c r="C198" s="20">
        <v>20.625</v>
      </c>
      <c r="D198" s="19">
        <v>1.0625</v>
      </c>
      <c r="E198" s="20">
        <v>11.5</v>
      </c>
      <c r="F198" s="19">
        <v>1.9375</v>
      </c>
      <c r="G198" s="19">
        <v>2.5625</v>
      </c>
      <c r="H198" s="19">
        <v>1</v>
      </c>
      <c r="I198" s="20"/>
      <c r="J198" s="19"/>
      <c r="K198" s="123">
        <f t="shared" si="13"/>
        <v>7.09375</v>
      </c>
      <c r="L198" s="279">
        <f t="shared" si="12"/>
        <v>2.1621750032865061</v>
      </c>
      <c r="M198" s="279">
        <f t="shared" si="14"/>
        <v>314.00261333817639</v>
      </c>
      <c r="N198" s="1">
        <v>211</v>
      </c>
    </row>
    <row r="199" spans="2:14" x14ac:dyDescent="0.2">
      <c r="B199" s="18" t="s">
        <v>1661</v>
      </c>
      <c r="C199" s="20">
        <v>20.375</v>
      </c>
      <c r="D199" s="19">
        <v>1</v>
      </c>
      <c r="E199" s="20">
        <v>11.5</v>
      </c>
      <c r="F199" s="19">
        <v>1.75</v>
      </c>
      <c r="G199" s="19">
        <v>2.4375</v>
      </c>
      <c r="H199" s="19">
        <v>0.9375</v>
      </c>
      <c r="I199" s="20"/>
      <c r="J199" s="19"/>
      <c r="K199" s="123">
        <f t="shared" si="13"/>
        <v>7.0625</v>
      </c>
      <c r="L199" s="279">
        <f t="shared" si="12"/>
        <v>2.1526500032720284</v>
      </c>
      <c r="M199" s="279">
        <f t="shared" si="14"/>
        <v>285.72749649729792</v>
      </c>
      <c r="N199" s="1">
        <v>192</v>
      </c>
    </row>
    <row r="200" spans="2:14" x14ac:dyDescent="0.2">
      <c r="B200" s="18" t="s">
        <v>1660</v>
      </c>
      <c r="C200" s="20">
        <v>20</v>
      </c>
      <c r="D200" s="19">
        <v>0.875</v>
      </c>
      <c r="E200" s="20">
        <v>11.375</v>
      </c>
      <c r="F200" s="19">
        <v>1.5625</v>
      </c>
      <c r="G200" s="19">
        <v>2.25</v>
      </c>
      <c r="H200" s="19">
        <v>0.875</v>
      </c>
      <c r="I200" s="20"/>
      <c r="J200" s="19"/>
      <c r="K200" s="123">
        <f t="shared" si="13"/>
        <v>6.979166666666667</v>
      </c>
      <c r="L200" s="279">
        <f t="shared" si="12"/>
        <v>2.1272500032334203</v>
      </c>
      <c r="M200" s="279">
        <f t="shared" si="14"/>
        <v>260.42870774493304</v>
      </c>
      <c r="N200" s="1">
        <v>175</v>
      </c>
    </row>
    <row r="201" spans="2:14" x14ac:dyDescent="0.2">
      <c r="B201" s="18" t="s">
        <v>1659</v>
      </c>
      <c r="C201" s="20">
        <v>19.75</v>
      </c>
      <c r="D201" s="19">
        <v>0.8125</v>
      </c>
      <c r="E201" s="20">
        <v>11.25</v>
      </c>
      <c r="F201" s="19">
        <v>1.4375</v>
      </c>
      <c r="G201" s="19">
        <v>2.125</v>
      </c>
      <c r="H201" s="19">
        <v>0.875</v>
      </c>
      <c r="I201" s="20"/>
      <c r="J201" s="19"/>
      <c r="K201" s="123">
        <f t="shared" si="13"/>
        <v>6.90625</v>
      </c>
      <c r="L201" s="279">
        <f t="shared" si="12"/>
        <v>2.1050250031996383</v>
      </c>
      <c r="M201" s="279">
        <f t="shared" si="14"/>
        <v>235.12991899256809</v>
      </c>
      <c r="N201" s="1">
        <v>158</v>
      </c>
    </row>
    <row r="202" spans="2:14" x14ac:dyDescent="0.2">
      <c r="B202" s="18" t="s">
        <v>1658</v>
      </c>
      <c r="C202" s="20">
        <v>19.5</v>
      </c>
      <c r="D202" s="19">
        <v>0.75</v>
      </c>
      <c r="E202" s="20">
        <v>11.25</v>
      </c>
      <c r="F202" s="19">
        <v>1.3125</v>
      </c>
      <c r="G202" s="19">
        <v>2</v>
      </c>
      <c r="H202" s="19">
        <v>0.8125</v>
      </c>
      <c r="I202" s="20"/>
      <c r="J202" s="19"/>
      <c r="K202" s="123">
        <f t="shared" si="13"/>
        <v>6.875</v>
      </c>
      <c r="L202" s="279">
        <f t="shared" si="12"/>
        <v>2.0955000031851605</v>
      </c>
      <c r="M202" s="279">
        <f t="shared" si="14"/>
        <v>212.80745832871671</v>
      </c>
      <c r="N202" s="1">
        <v>143</v>
      </c>
    </row>
    <row r="203" spans="2:14" x14ac:dyDescent="0.2">
      <c r="B203" s="131" t="s">
        <v>1657</v>
      </c>
      <c r="C203" s="134">
        <v>19.25</v>
      </c>
      <c r="D203" s="133">
        <v>0.6875</v>
      </c>
      <c r="E203" s="134">
        <v>11.125</v>
      </c>
      <c r="F203" s="133">
        <v>1.1875</v>
      </c>
      <c r="G203" s="133">
        <v>1.875</v>
      </c>
      <c r="H203" s="133">
        <v>0.8125</v>
      </c>
      <c r="I203" s="134"/>
      <c r="J203" s="133"/>
      <c r="K203" s="320">
        <f t="shared" si="13"/>
        <v>6.802083333333333</v>
      </c>
      <c r="L203" s="321">
        <f t="shared" si="12"/>
        <v>2.073275003151378</v>
      </c>
      <c r="M203" s="279">
        <f t="shared" si="14"/>
        <v>193.46132575337882</v>
      </c>
      <c r="N203" s="1">
        <v>130</v>
      </c>
    </row>
    <row r="204" spans="2:14" x14ac:dyDescent="0.2">
      <c r="B204" s="314" t="s">
        <v>899</v>
      </c>
      <c r="C204" s="322" t="s">
        <v>899</v>
      </c>
      <c r="D204" s="322" t="s">
        <v>899</v>
      </c>
      <c r="E204" s="322" t="s">
        <v>899</v>
      </c>
      <c r="F204" s="322" t="s">
        <v>899</v>
      </c>
      <c r="G204" s="322" t="s">
        <v>899</v>
      </c>
      <c r="H204" s="322" t="s">
        <v>899</v>
      </c>
      <c r="I204" s="322" t="s">
        <v>899</v>
      </c>
      <c r="J204" s="322" t="s">
        <v>899</v>
      </c>
      <c r="K204" s="323"/>
      <c r="L204" s="324"/>
      <c r="M204" s="319"/>
      <c r="N204" s="1"/>
    </row>
    <row r="205" spans="2:14" x14ac:dyDescent="0.2">
      <c r="B205" s="131" t="s">
        <v>965</v>
      </c>
      <c r="C205" s="134">
        <v>19</v>
      </c>
      <c r="D205" s="133">
        <v>0.625</v>
      </c>
      <c r="E205" s="134">
        <v>11.25</v>
      </c>
      <c r="F205" s="133">
        <v>1.0625</v>
      </c>
      <c r="G205" s="133">
        <v>1.75</v>
      </c>
      <c r="H205" s="133">
        <v>0.9375</v>
      </c>
      <c r="I205" s="134">
        <v>5.5</v>
      </c>
      <c r="J205" s="133">
        <v>3</v>
      </c>
      <c r="K205" s="123">
        <f t="shared" ref="K205:K219" si="15">((C205-(F205*2))*2+(E205*4)+(F205*4)-(D205*2))*12/144</f>
        <v>6.8125</v>
      </c>
      <c r="L205" s="281">
        <f t="shared" si="12"/>
        <v>2.0764500031562041</v>
      </c>
      <c r="M205" s="279">
        <f t="shared" si="14"/>
        <v>177.09152126655445</v>
      </c>
      <c r="N205" s="1">
        <v>119</v>
      </c>
    </row>
    <row r="206" spans="2:14" x14ac:dyDescent="0.2">
      <c r="B206" s="18" t="s">
        <v>966</v>
      </c>
      <c r="C206" s="20">
        <v>18.75</v>
      </c>
      <c r="D206" s="19">
        <v>0.5625</v>
      </c>
      <c r="E206" s="20">
        <v>11.25</v>
      </c>
      <c r="F206" s="19">
        <v>0.9375</v>
      </c>
      <c r="G206" s="19">
        <v>1.625</v>
      </c>
      <c r="H206" s="19">
        <v>0.9375</v>
      </c>
      <c r="I206" s="20">
        <v>5.5</v>
      </c>
      <c r="J206" s="19">
        <v>3</v>
      </c>
      <c r="K206" s="136">
        <f t="shared" si="15"/>
        <v>6.78125</v>
      </c>
      <c r="L206" s="279">
        <f t="shared" si="12"/>
        <v>2.0669250031417263</v>
      </c>
      <c r="M206" s="279">
        <f t="shared" si="14"/>
        <v>157.74538869121656</v>
      </c>
      <c r="N206" s="1">
        <v>106</v>
      </c>
    </row>
    <row r="207" spans="2:14" x14ac:dyDescent="0.2">
      <c r="B207" s="131" t="s">
        <v>967</v>
      </c>
      <c r="C207" s="134">
        <v>18.625</v>
      </c>
      <c r="D207" s="133">
        <v>0.5625</v>
      </c>
      <c r="E207" s="134">
        <v>11.125</v>
      </c>
      <c r="F207" s="133">
        <v>0.875</v>
      </c>
      <c r="G207" s="133">
        <v>1.5625</v>
      </c>
      <c r="H207" s="133">
        <v>0.875</v>
      </c>
      <c r="I207" s="134">
        <v>5.5</v>
      </c>
      <c r="J207" s="133">
        <v>2.75</v>
      </c>
      <c r="K207" s="123">
        <f t="shared" si="15"/>
        <v>6.71875</v>
      </c>
      <c r="L207" s="279">
        <f t="shared" si="12"/>
        <v>2.0478750031127704</v>
      </c>
      <c r="M207" s="279">
        <f t="shared" si="14"/>
        <v>144.35191229290572</v>
      </c>
      <c r="N207" s="1">
        <v>97</v>
      </c>
    </row>
    <row r="208" spans="2:14" x14ac:dyDescent="0.2">
      <c r="B208" s="18" t="s">
        <v>968</v>
      </c>
      <c r="C208" s="20">
        <v>18.375</v>
      </c>
      <c r="D208" s="19">
        <v>0.5</v>
      </c>
      <c r="E208" s="20">
        <v>11.125</v>
      </c>
      <c r="F208" s="19">
        <v>0.75</v>
      </c>
      <c r="G208" s="19">
        <v>1.4375</v>
      </c>
      <c r="H208" s="19">
        <v>0.875</v>
      </c>
      <c r="I208" s="20">
        <v>5.5</v>
      </c>
      <c r="J208" s="19">
        <v>2.75</v>
      </c>
      <c r="K208" s="136">
        <f t="shared" si="15"/>
        <v>6.6875</v>
      </c>
      <c r="L208" s="279">
        <f t="shared" si="12"/>
        <v>2.0383500030982922</v>
      </c>
      <c r="M208" s="279">
        <f t="shared" si="14"/>
        <v>127.98210780608136</v>
      </c>
      <c r="N208" s="1">
        <v>86</v>
      </c>
    </row>
    <row r="209" spans="2:14" x14ac:dyDescent="0.2">
      <c r="B209" s="18" t="s">
        <v>969</v>
      </c>
      <c r="C209" s="22">
        <v>18.25</v>
      </c>
      <c r="D209" s="21">
        <v>0.4375</v>
      </c>
      <c r="E209" s="22">
        <v>11</v>
      </c>
      <c r="F209" s="21">
        <v>0.6875</v>
      </c>
      <c r="G209" s="21">
        <v>1.375</v>
      </c>
      <c r="H209" s="21">
        <v>0.8125</v>
      </c>
      <c r="I209" s="22">
        <v>5.5</v>
      </c>
      <c r="J209" s="21">
        <v>2.75</v>
      </c>
      <c r="K209" s="320">
        <f t="shared" si="15"/>
        <v>6.635416666666667</v>
      </c>
      <c r="L209" s="321">
        <f t="shared" si="12"/>
        <v>2.0224750030741623</v>
      </c>
      <c r="M209" s="279">
        <f t="shared" si="14"/>
        <v>113.10046736351376</v>
      </c>
      <c r="N209" s="1">
        <v>76</v>
      </c>
    </row>
    <row r="210" spans="2:14" x14ac:dyDescent="0.2">
      <c r="B210" s="318"/>
      <c r="C210" s="322"/>
      <c r="D210" s="322"/>
      <c r="E210" s="322"/>
      <c r="F210" s="322"/>
      <c r="G210" s="322"/>
      <c r="H210" s="322"/>
      <c r="I210" s="322"/>
      <c r="J210" s="322"/>
      <c r="K210" s="323"/>
      <c r="L210" s="324"/>
      <c r="M210" s="319"/>
      <c r="N210" s="1"/>
    </row>
    <row r="211" spans="2:14" x14ac:dyDescent="0.2">
      <c r="B211" s="18" t="s">
        <v>970</v>
      </c>
      <c r="C211" s="160">
        <v>18.5</v>
      </c>
      <c r="D211" s="135">
        <v>0.5</v>
      </c>
      <c r="E211" s="160">
        <v>7.625</v>
      </c>
      <c r="F211" s="135">
        <v>0.8125</v>
      </c>
      <c r="G211" s="135">
        <v>1.5</v>
      </c>
      <c r="H211" s="135">
        <v>0.875</v>
      </c>
      <c r="I211" s="160">
        <v>3.5</v>
      </c>
      <c r="J211" s="135">
        <v>2.75</v>
      </c>
      <c r="K211" s="123">
        <f t="shared" si="15"/>
        <v>5.541666666666667</v>
      </c>
      <c r="L211" s="281">
        <f t="shared" si="12"/>
        <v>1.6891000025674321</v>
      </c>
      <c r="M211" s="279">
        <f t="shared" si="14"/>
        <v>105.65964714222997</v>
      </c>
      <c r="N211" s="1">
        <v>71</v>
      </c>
    </row>
    <row r="212" spans="2:14" x14ac:dyDescent="0.2">
      <c r="B212" s="131" t="s">
        <v>971</v>
      </c>
      <c r="C212" s="134">
        <v>18.375</v>
      </c>
      <c r="D212" s="133">
        <v>0.4375</v>
      </c>
      <c r="E212" s="134">
        <v>7.625</v>
      </c>
      <c r="F212" s="133">
        <v>0.75</v>
      </c>
      <c r="G212" s="133">
        <v>1.4375</v>
      </c>
      <c r="H212" s="133">
        <v>0.875</v>
      </c>
      <c r="I212" s="134">
        <v>3.5</v>
      </c>
      <c r="J212" s="133">
        <v>2.75</v>
      </c>
      <c r="K212" s="123">
        <f t="shared" si="15"/>
        <v>5.53125</v>
      </c>
      <c r="L212" s="279">
        <f t="shared" si="12"/>
        <v>1.6859250025626062</v>
      </c>
      <c r="M212" s="279">
        <f t="shared" si="14"/>
        <v>96.730662876689408</v>
      </c>
      <c r="N212" s="1">
        <v>65</v>
      </c>
    </row>
    <row r="213" spans="2:14" x14ac:dyDescent="0.2">
      <c r="B213" s="18" t="s">
        <v>972</v>
      </c>
      <c r="C213" s="20">
        <v>18.25</v>
      </c>
      <c r="D213" s="19">
        <v>0.4375</v>
      </c>
      <c r="E213" s="20">
        <v>7.5</v>
      </c>
      <c r="F213" s="19">
        <v>0.6875</v>
      </c>
      <c r="G213" s="19">
        <v>1.375</v>
      </c>
      <c r="H213" s="19">
        <v>0.8125</v>
      </c>
      <c r="I213" s="20">
        <v>3.5</v>
      </c>
      <c r="J213" s="19">
        <v>2.75</v>
      </c>
      <c r="K213" s="136">
        <f t="shared" si="15"/>
        <v>5.46875</v>
      </c>
      <c r="L213" s="279">
        <f t="shared" si="12"/>
        <v>1.6668750025336503</v>
      </c>
      <c r="M213" s="279">
        <f t="shared" si="14"/>
        <v>89.289842655405593</v>
      </c>
      <c r="N213" s="1">
        <v>60</v>
      </c>
    </row>
    <row r="214" spans="2:14" x14ac:dyDescent="0.2">
      <c r="B214" s="131" t="s">
        <v>973</v>
      </c>
      <c r="C214" s="134">
        <v>18.125</v>
      </c>
      <c r="D214" s="133">
        <v>0.375</v>
      </c>
      <c r="E214" s="134">
        <v>7.5</v>
      </c>
      <c r="F214" s="133">
        <v>0.625</v>
      </c>
      <c r="G214" s="133">
        <v>1.3125</v>
      </c>
      <c r="H214" s="133">
        <v>0.8125</v>
      </c>
      <c r="I214" s="134">
        <v>3.5</v>
      </c>
      <c r="J214" s="133">
        <v>2.75</v>
      </c>
      <c r="K214" s="123">
        <f t="shared" si="15"/>
        <v>5.458333333333333</v>
      </c>
      <c r="L214" s="279">
        <f t="shared" si="12"/>
        <v>1.6637000025288242</v>
      </c>
      <c r="M214" s="279">
        <f t="shared" si="14"/>
        <v>81.849022434121807</v>
      </c>
      <c r="N214" s="1">
        <v>55</v>
      </c>
    </row>
    <row r="215" spans="2:14" x14ac:dyDescent="0.2">
      <c r="B215" s="18" t="s">
        <v>974</v>
      </c>
      <c r="C215" s="22">
        <v>18</v>
      </c>
      <c r="D215" s="21">
        <v>0.375</v>
      </c>
      <c r="E215" s="22">
        <v>7.5</v>
      </c>
      <c r="F215" s="21">
        <v>0.5625</v>
      </c>
      <c r="G215" s="21">
        <v>1.25</v>
      </c>
      <c r="H215" s="21">
        <v>0.8125</v>
      </c>
      <c r="I215" s="22">
        <v>3.5</v>
      </c>
      <c r="J215" s="21">
        <v>2.5</v>
      </c>
      <c r="K215" s="325">
        <f t="shared" si="15"/>
        <v>5.4375</v>
      </c>
      <c r="L215" s="321">
        <f t="shared" si="12"/>
        <v>1.6573500025191721</v>
      </c>
      <c r="M215" s="279">
        <f t="shared" si="14"/>
        <v>74.408202212838006</v>
      </c>
      <c r="N215" s="1">
        <v>50</v>
      </c>
    </row>
    <row r="216" spans="2:14" x14ac:dyDescent="0.2">
      <c r="B216" s="317"/>
      <c r="C216" s="322"/>
      <c r="D216" s="322"/>
      <c r="E216" s="322"/>
      <c r="F216" s="322"/>
      <c r="G216" s="322"/>
      <c r="H216" s="322"/>
      <c r="I216" s="322"/>
      <c r="J216" s="322"/>
      <c r="K216" s="323"/>
      <c r="L216" s="324"/>
      <c r="M216" s="319"/>
      <c r="N216" s="1"/>
    </row>
    <row r="217" spans="2:14" x14ac:dyDescent="0.2">
      <c r="B217" s="131" t="s">
        <v>975</v>
      </c>
      <c r="C217" s="134">
        <v>18</v>
      </c>
      <c r="D217" s="133">
        <v>0.375</v>
      </c>
      <c r="E217" s="134">
        <v>6</v>
      </c>
      <c r="F217" s="133">
        <v>0.625</v>
      </c>
      <c r="G217" s="133">
        <v>1.25</v>
      </c>
      <c r="H217" s="133">
        <v>0.8125</v>
      </c>
      <c r="I217" s="134">
        <v>3.5</v>
      </c>
      <c r="J217" s="133">
        <v>2.5</v>
      </c>
      <c r="K217" s="123">
        <f t="shared" si="15"/>
        <v>4.9375</v>
      </c>
      <c r="L217" s="281">
        <f t="shared" si="12"/>
        <v>1.5049500022875242</v>
      </c>
      <c r="M217" s="279">
        <f t="shared" si="14"/>
        <v>68.455546035810954</v>
      </c>
      <c r="N217" s="1">
        <v>46</v>
      </c>
    </row>
    <row r="218" spans="2:14" x14ac:dyDescent="0.2">
      <c r="B218" s="18" t="s">
        <v>976</v>
      </c>
      <c r="C218" s="20">
        <v>17.875</v>
      </c>
      <c r="D218" s="19">
        <v>0.3125</v>
      </c>
      <c r="E218" s="20">
        <v>6</v>
      </c>
      <c r="F218" s="19">
        <v>0.5</v>
      </c>
      <c r="G218" s="19">
        <v>1.1875</v>
      </c>
      <c r="H218" s="19">
        <v>0.8125</v>
      </c>
      <c r="I218" s="20">
        <v>3.5</v>
      </c>
      <c r="J218" s="19">
        <v>2.5</v>
      </c>
      <c r="K218" s="136">
        <f t="shared" si="15"/>
        <v>4.927083333333333</v>
      </c>
      <c r="L218" s="279">
        <f t="shared" si="12"/>
        <v>1.5017750022826981</v>
      </c>
      <c r="M218" s="279">
        <f t="shared" si="14"/>
        <v>59.526561770270405</v>
      </c>
      <c r="N218" s="1">
        <v>40</v>
      </c>
    </row>
    <row r="219" spans="2:14" x14ac:dyDescent="0.2">
      <c r="B219" s="131" t="s">
        <v>977</v>
      </c>
      <c r="C219" s="134">
        <v>17.75</v>
      </c>
      <c r="D219" s="133">
        <v>0.3125</v>
      </c>
      <c r="E219" s="134">
        <v>6</v>
      </c>
      <c r="F219" s="133">
        <v>0.4375</v>
      </c>
      <c r="G219" s="133">
        <v>1.125</v>
      </c>
      <c r="H219" s="133">
        <v>0.75</v>
      </c>
      <c r="I219" s="134">
        <v>3.5</v>
      </c>
      <c r="J219" s="133">
        <v>2.5</v>
      </c>
      <c r="K219" s="320">
        <f t="shared" si="15"/>
        <v>4.90625</v>
      </c>
      <c r="L219" s="321">
        <f t="shared" ref="L219:L282" si="16">K219*3.2808399*0.09290304</f>
        <v>1.4954250022730462</v>
      </c>
      <c r="M219" s="279">
        <f t="shared" si="14"/>
        <v>52.085741548986604</v>
      </c>
      <c r="N219" s="1">
        <v>35</v>
      </c>
    </row>
    <row r="220" spans="2:14" x14ac:dyDescent="0.2">
      <c r="B220" s="314" t="s">
        <v>899</v>
      </c>
      <c r="C220" s="322" t="s">
        <v>899</v>
      </c>
      <c r="D220" s="322" t="s">
        <v>899</v>
      </c>
      <c r="E220" s="322" t="s">
        <v>899</v>
      </c>
      <c r="F220" s="322" t="s">
        <v>899</v>
      </c>
      <c r="G220" s="322" t="s">
        <v>899</v>
      </c>
      <c r="H220" s="322" t="s">
        <v>899</v>
      </c>
      <c r="I220" s="322" t="s">
        <v>899</v>
      </c>
      <c r="J220" s="322" t="s">
        <v>899</v>
      </c>
      <c r="K220" s="323"/>
      <c r="L220" s="324"/>
      <c r="M220" s="319"/>
      <c r="N220" s="1"/>
    </row>
    <row r="221" spans="2:14" x14ac:dyDescent="0.2">
      <c r="B221" s="131" t="s">
        <v>978</v>
      </c>
      <c r="C221" s="134">
        <v>17</v>
      </c>
      <c r="D221" s="133">
        <v>0.5625</v>
      </c>
      <c r="E221" s="134">
        <v>10.375</v>
      </c>
      <c r="F221" s="133">
        <v>1</v>
      </c>
      <c r="G221" s="133">
        <v>1.6875</v>
      </c>
      <c r="H221" s="133">
        <v>0.9375</v>
      </c>
      <c r="I221" s="134">
        <v>5.5</v>
      </c>
      <c r="J221" s="133">
        <v>3</v>
      </c>
      <c r="K221" s="123">
        <f t="shared" ref="K221:K233" si="17">((C221-(F221*2))*2+(E221*4)+(F221*4)-(D221*2))*12/144</f>
        <v>6.197916666666667</v>
      </c>
      <c r="L221" s="281">
        <f t="shared" si="16"/>
        <v>1.8891250028714703</v>
      </c>
      <c r="M221" s="279">
        <f t="shared" si="14"/>
        <v>148.81640442567601</v>
      </c>
      <c r="N221" s="1">
        <v>100</v>
      </c>
    </row>
    <row r="222" spans="2:14" x14ac:dyDescent="0.2">
      <c r="B222" s="18" t="s">
        <v>979</v>
      </c>
      <c r="C222" s="20">
        <v>16.75</v>
      </c>
      <c r="D222" s="19">
        <v>0.5</v>
      </c>
      <c r="E222" s="20">
        <v>10.375</v>
      </c>
      <c r="F222" s="19">
        <v>0.875</v>
      </c>
      <c r="G222" s="19">
        <v>1.5625</v>
      </c>
      <c r="H222" s="19">
        <v>0.875</v>
      </c>
      <c r="I222" s="20">
        <v>5.5</v>
      </c>
      <c r="J222" s="19">
        <v>2.75</v>
      </c>
      <c r="K222" s="123">
        <f t="shared" si="17"/>
        <v>6.166666666666667</v>
      </c>
      <c r="L222" s="279">
        <f t="shared" si="16"/>
        <v>1.8796000028569924</v>
      </c>
      <c r="M222" s="279">
        <f t="shared" si="14"/>
        <v>132.44659993885165</v>
      </c>
      <c r="N222" s="1">
        <v>89</v>
      </c>
    </row>
    <row r="223" spans="2:14" x14ac:dyDescent="0.2">
      <c r="B223" s="131" t="s">
        <v>980</v>
      </c>
      <c r="C223" s="134">
        <v>16.5</v>
      </c>
      <c r="D223" s="133">
        <v>0.4375</v>
      </c>
      <c r="E223" s="134">
        <v>10.25</v>
      </c>
      <c r="F223" s="133">
        <v>0.75</v>
      </c>
      <c r="G223" s="133">
        <v>1.4375</v>
      </c>
      <c r="H223" s="133">
        <v>0.875</v>
      </c>
      <c r="I223" s="134">
        <v>5.5</v>
      </c>
      <c r="J223" s="133">
        <v>2.75</v>
      </c>
      <c r="K223" s="123">
        <f t="shared" si="17"/>
        <v>6.09375</v>
      </c>
      <c r="L223" s="279">
        <f t="shared" si="16"/>
        <v>1.8573750028232103</v>
      </c>
      <c r="M223" s="279">
        <f t="shared" si="14"/>
        <v>114.58863140777054</v>
      </c>
      <c r="N223" s="1">
        <v>77</v>
      </c>
    </row>
    <row r="224" spans="2:14" x14ac:dyDescent="0.2">
      <c r="B224" s="18" t="s">
        <v>981</v>
      </c>
      <c r="C224" s="22">
        <v>16.375</v>
      </c>
      <c r="D224" s="21">
        <v>0.375</v>
      </c>
      <c r="E224" s="22">
        <v>10.25</v>
      </c>
      <c r="F224" s="21">
        <v>0.6875</v>
      </c>
      <c r="G224" s="21">
        <v>1.375</v>
      </c>
      <c r="H224" s="21">
        <v>0.8125</v>
      </c>
      <c r="I224" s="22">
        <v>5.5</v>
      </c>
      <c r="J224" s="21">
        <v>2.75</v>
      </c>
      <c r="K224" s="320">
        <f t="shared" si="17"/>
        <v>6.083333333333333</v>
      </c>
      <c r="L224" s="321">
        <f t="shared" si="16"/>
        <v>1.8542000028183843</v>
      </c>
      <c r="M224" s="279">
        <f t="shared" si="14"/>
        <v>99.70699096520292</v>
      </c>
      <c r="N224" s="1">
        <v>67</v>
      </c>
    </row>
    <row r="225" spans="2:14" x14ac:dyDescent="0.2">
      <c r="B225" s="314"/>
      <c r="C225" s="322"/>
      <c r="D225" s="322"/>
      <c r="E225" s="322"/>
      <c r="F225" s="322"/>
      <c r="G225" s="322"/>
      <c r="H225" s="322"/>
      <c r="I225" s="322"/>
      <c r="J225" s="322"/>
      <c r="K225" s="323"/>
      <c r="L225" s="324"/>
      <c r="M225" s="319"/>
      <c r="N225" s="1"/>
    </row>
    <row r="226" spans="2:14" x14ac:dyDescent="0.2">
      <c r="B226" s="131" t="s">
        <v>982</v>
      </c>
      <c r="C226" s="134">
        <v>16.375</v>
      </c>
      <c r="D226" s="133">
        <v>0.4375</v>
      </c>
      <c r="E226" s="134">
        <v>7.125</v>
      </c>
      <c r="F226" s="133">
        <v>0.6875</v>
      </c>
      <c r="G226" s="133">
        <v>1.375</v>
      </c>
      <c r="H226" s="133">
        <v>0.875</v>
      </c>
      <c r="I226" s="134">
        <v>3.5</v>
      </c>
      <c r="J226" s="133">
        <v>2.75</v>
      </c>
      <c r="K226" s="123">
        <f t="shared" si="17"/>
        <v>5.03125</v>
      </c>
      <c r="L226" s="281">
        <f t="shared" si="16"/>
        <v>1.5335250023309583</v>
      </c>
      <c r="M226" s="279">
        <f t="shared" si="14"/>
        <v>84.825350522635318</v>
      </c>
      <c r="N226" s="1">
        <v>57</v>
      </c>
    </row>
    <row r="227" spans="2:14" x14ac:dyDescent="0.2">
      <c r="B227" s="18" t="s">
        <v>983</v>
      </c>
      <c r="C227" s="20">
        <v>16.25</v>
      </c>
      <c r="D227" s="19">
        <v>0.375</v>
      </c>
      <c r="E227" s="20">
        <v>7.125</v>
      </c>
      <c r="F227" s="19">
        <v>0.625</v>
      </c>
      <c r="G227" s="19">
        <v>1.3125</v>
      </c>
      <c r="H227" s="19">
        <v>0.8125</v>
      </c>
      <c r="I227" s="20">
        <v>3.5</v>
      </c>
      <c r="J227" s="19">
        <v>2.75</v>
      </c>
      <c r="K227" s="123">
        <f t="shared" si="17"/>
        <v>5.020833333333333</v>
      </c>
      <c r="L227" s="279">
        <f t="shared" si="16"/>
        <v>1.5303500023261318</v>
      </c>
      <c r="M227" s="279">
        <f t="shared" si="14"/>
        <v>74.408202212838006</v>
      </c>
      <c r="N227" s="1">
        <v>50</v>
      </c>
    </row>
    <row r="228" spans="2:14" x14ac:dyDescent="0.2">
      <c r="B228" s="131" t="s">
        <v>984</v>
      </c>
      <c r="C228" s="134">
        <v>16.125</v>
      </c>
      <c r="D228" s="133">
        <v>0.375</v>
      </c>
      <c r="E228" s="134">
        <v>7</v>
      </c>
      <c r="F228" s="133">
        <v>0.5625</v>
      </c>
      <c r="G228" s="133">
        <v>1.25</v>
      </c>
      <c r="H228" s="133">
        <v>0.8125</v>
      </c>
      <c r="I228" s="134">
        <v>3.5</v>
      </c>
      <c r="J228" s="133">
        <v>2.5</v>
      </c>
      <c r="K228" s="123">
        <f t="shared" si="17"/>
        <v>4.958333333333333</v>
      </c>
      <c r="L228" s="279">
        <f t="shared" si="16"/>
        <v>1.5113000022971761</v>
      </c>
      <c r="M228" s="279">
        <f t="shared" si="14"/>
        <v>66.967381991554205</v>
      </c>
      <c r="N228" s="1">
        <v>45</v>
      </c>
    </row>
    <row r="229" spans="2:14" x14ac:dyDescent="0.2">
      <c r="B229" s="18" t="s">
        <v>985</v>
      </c>
      <c r="C229" s="20">
        <v>16</v>
      </c>
      <c r="D229" s="19">
        <v>0.3125</v>
      </c>
      <c r="E229" s="20">
        <v>7</v>
      </c>
      <c r="F229" s="19">
        <v>0.5</v>
      </c>
      <c r="G229" s="19">
        <v>1.1875</v>
      </c>
      <c r="H229" s="19">
        <v>0.8125</v>
      </c>
      <c r="I229" s="20">
        <v>3.5</v>
      </c>
      <c r="J229" s="19">
        <v>2.5</v>
      </c>
      <c r="K229" s="123">
        <f t="shared" si="17"/>
        <v>4.947916666666667</v>
      </c>
      <c r="L229" s="279">
        <f t="shared" si="16"/>
        <v>1.5081250022923502</v>
      </c>
      <c r="M229" s="279">
        <f t="shared" si="14"/>
        <v>59.526561770270405</v>
      </c>
      <c r="N229" s="1">
        <v>40</v>
      </c>
    </row>
    <row r="230" spans="2:14" x14ac:dyDescent="0.2">
      <c r="B230" s="18" t="s">
        <v>986</v>
      </c>
      <c r="C230" s="22">
        <v>15.875</v>
      </c>
      <c r="D230" s="21">
        <v>0.3125</v>
      </c>
      <c r="E230" s="22">
        <v>7</v>
      </c>
      <c r="F230" s="21">
        <v>0.4375</v>
      </c>
      <c r="G230" s="21">
        <v>1.125</v>
      </c>
      <c r="H230" s="21">
        <v>0.75</v>
      </c>
      <c r="I230" s="22">
        <v>3.5</v>
      </c>
      <c r="J230" s="21">
        <v>2.5</v>
      </c>
      <c r="K230" s="320">
        <f t="shared" si="17"/>
        <v>4.927083333333333</v>
      </c>
      <c r="L230" s="321">
        <f t="shared" si="16"/>
        <v>1.5017750022826981</v>
      </c>
      <c r="M230" s="279">
        <f t="shared" si="14"/>
        <v>53.57390559324336</v>
      </c>
      <c r="N230" s="1">
        <v>36</v>
      </c>
    </row>
    <row r="231" spans="2:14" x14ac:dyDescent="0.2">
      <c r="B231" s="318"/>
      <c r="C231" s="322"/>
      <c r="D231" s="322"/>
      <c r="E231" s="322"/>
      <c r="F231" s="322"/>
      <c r="G231" s="322"/>
      <c r="H231" s="322"/>
      <c r="I231" s="322"/>
      <c r="J231" s="322"/>
      <c r="K231" s="323"/>
      <c r="L231" s="324"/>
      <c r="M231" s="319"/>
      <c r="N231" s="1"/>
    </row>
    <row r="232" spans="2:14" x14ac:dyDescent="0.2">
      <c r="B232" s="18" t="s">
        <v>987</v>
      </c>
      <c r="C232" s="160">
        <v>15.875</v>
      </c>
      <c r="D232" s="135">
        <v>0.25</v>
      </c>
      <c r="E232" s="160">
        <v>5.5</v>
      </c>
      <c r="F232" s="135">
        <v>0.4375</v>
      </c>
      <c r="G232" s="135">
        <v>1.125</v>
      </c>
      <c r="H232" s="135">
        <v>0.75</v>
      </c>
      <c r="I232" s="160">
        <v>2.75</v>
      </c>
      <c r="J232" s="135">
        <v>2.5</v>
      </c>
      <c r="K232" s="123">
        <f t="shared" si="17"/>
        <v>4.4375</v>
      </c>
      <c r="L232" s="281">
        <f t="shared" si="16"/>
        <v>1.3525500020558763</v>
      </c>
      <c r="M232" s="279">
        <f t="shared" si="14"/>
        <v>46.133085371959559</v>
      </c>
      <c r="N232" s="1">
        <v>31</v>
      </c>
    </row>
    <row r="233" spans="2:14" x14ac:dyDescent="0.2">
      <c r="B233" s="131" t="s">
        <v>988</v>
      </c>
      <c r="C233" s="134">
        <v>15.75</v>
      </c>
      <c r="D233" s="133">
        <v>0.25</v>
      </c>
      <c r="E233" s="134">
        <v>5.5</v>
      </c>
      <c r="F233" s="133">
        <v>0.375</v>
      </c>
      <c r="G233" s="133">
        <v>1.0625</v>
      </c>
      <c r="H233" s="133">
        <v>0.75</v>
      </c>
      <c r="I233" s="134">
        <v>2.75</v>
      </c>
      <c r="J233" s="133">
        <v>2.25</v>
      </c>
      <c r="K233" s="320">
        <f t="shared" si="17"/>
        <v>4.416666666666667</v>
      </c>
      <c r="L233" s="321">
        <f t="shared" si="16"/>
        <v>1.3462000020462244</v>
      </c>
      <c r="M233" s="279">
        <f t="shared" si="14"/>
        <v>38.692265150675766</v>
      </c>
      <c r="N233" s="1">
        <v>26</v>
      </c>
    </row>
    <row r="234" spans="2:14" x14ac:dyDescent="0.2">
      <c r="B234" s="314" t="s">
        <v>899</v>
      </c>
      <c r="C234" s="322" t="s">
        <v>899</v>
      </c>
      <c r="D234" s="322" t="s">
        <v>899</v>
      </c>
      <c r="E234" s="322" t="s">
        <v>899</v>
      </c>
      <c r="F234" s="322" t="s">
        <v>899</v>
      </c>
      <c r="G234" s="322" t="s">
        <v>899</v>
      </c>
      <c r="H234" s="322" t="s">
        <v>899</v>
      </c>
      <c r="I234" s="322" t="s">
        <v>899</v>
      </c>
      <c r="J234" s="322" t="s">
        <v>899</v>
      </c>
      <c r="K234" s="323"/>
      <c r="L234" s="324"/>
      <c r="M234" s="319"/>
      <c r="N234" s="1"/>
    </row>
    <row r="235" spans="2:14" x14ac:dyDescent="0.2">
      <c r="B235" s="131" t="s">
        <v>989</v>
      </c>
      <c r="C235" s="134">
        <v>22.375</v>
      </c>
      <c r="D235" s="133">
        <v>3.0625</v>
      </c>
      <c r="E235" s="134">
        <v>17.875</v>
      </c>
      <c r="F235" s="133">
        <v>4.9375</v>
      </c>
      <c r="G235" s="133">
        <v>5.5625</v>
      </c>
      <c r="H235" s="133">
        <v>2.1875</v>
      </c>
      <c r="I235" s="134" t="s">
        <v>1008</v>
      </c>
      <c r="J235" s="134" t="s">
        <v>1008</v>
      </c>
      <c r="K235" s="123">
        <f t="shared" ref="K235:K254" si="18">((C235-(F235*2))*2+(E235*4)+(F235*4)-(D235*2))*12/144</f>
        <v>9.1770833333333339</v>
      </c>
      <c r="L235" s="281">
        <f t="shared" si="16"/>
        <v>2.7971750042517063</v>
      </c>
      <c r="M235" s="279">
        <f t="shared" si="14"/>
        <v>1086.359752307435</v>
      </c>
      <c r="N235" s="1">
        <v>730</v>
      </c>
    </row>
    <row r="236" spans="2:14" x14ac:dyDescent="0.2">
      <c r="B236" s="18" t="s">
        <v>990</v>
      </c>
      <c r="C236" s="20">
        <v>21.625</v>
      </c>
      <c r="D236" s="19">
        <v>2.8125</v>
      </c>
      <c r="E236" s="20">
        <v>17.625</v>
      </c>
      <c r="F236" s="19">
        <v>4.5</v>
      </c>
      <c r="G236" s="19">
        <v>5.1875</v>
      </c>
      <c r="H236" s="19">
        <v>2.0625</v>
      </c>
      <c r="I236" s="20" t="s">
        <v>1008</v>
      </c>
      <c r="J236" s="20" t="s">
        <v>1008</v>
      </c>
      <c r="K236" s="123">
        <f t="shared" si="18"/>
        <v>9.0104166666666661</v>
      </c>
      <c r="L236" s="279">
        <f t="shared" si="16"/>
        <v>2.7463750041744901</v>
      </c>
      <c r="M236" s="279">
        <f t="shared" si="14"/>
        <v>989.62908943074535</v>
      </c>
      <c r="N236" s="1">
        <v>665</v>
      </c>
    </row>
    <row r="237" spans="2:14" x14ac:dyDescent="0.2">
      <c r="B237" s="131" t="s">
        <v>991</v>
      </c>
      <c r="C237" s="134">
        <v>20.875</v>
      </c>
      <c r="D237" s="133">
        <v>2.625</v>
      </c>
      <c r="E237" s="134">
        <v>17.375</v>
      </c>
      <c r="F237" s="133">
        <v>4.1875</v>
      </c>
      <c r="G237" s="133">
        <v>4.8125</v>
      </c>
      <c r="H237" s="133">
        <v>1.9375</v>
      </c>
      <c r="I237" s="134" t="s">
        <v>1008</v>
      </c>
      <c r="J237" s="134" t="s">
        <v>1008</v>
      </c>
      <c r="K237" s="123">
        <f t="shared" si="18"/>
        <v>8.8333333333333339</v>
      </c>
      <c r="L237" s="279">
        <f t="shared" si="16"/>
        <v>2.6924000040924487</v>
      </c>
      <c r="M237" s="279">
        <f t="shared" si="14"/>
        <v>900.3392467753398</v>
      </c>
      <c r="N237" s="1">
        <v>605</v>
      </c>
    </row>
    <row r="238" spans="2:14" x14ac:dyDescent="0.2">
      <c r="B238" s="18" t="s">
        <v>992</v>
      </c>
      <c r="C238" s="20">
        <v>20.25</v>
      </c>
      <c r="D238" s="19">
        <v>2.375</v>
      </c>
      <c r="E238" s="20">
        <v>17.25</v>
      </c>
      <c r="F238" s="19">
        <v>3.8125</v>
      </c>
      <c r="G238" s="19">
        <v>4.5</v>
      </c>
      <c r="H238" s="19">
        <v>1.8125</v>
      </c>
      <c r="I238" s="20" t="s">
        <v>1008</v>
      </c>
      <c r="J238" s="20" t="s">
        <v>1008</v>
      </c>
      <c r="K238" s="123">
        <f t="shared" si="18"/>
        <v>8.7291666666666661</v>
      </c>
      <c r="L238" s="279">
        <f t="shared" si="16"/>
        <v>2.6606500040441881</v>
      </c>
      <c r="M238" s="279">
        <f t="shared" si="14"/>
        <v>818.49022434121798</v>
      </c>
      <c r="N238" s="1">
        <v>550</v>
      </c>
    </row>
    <row r="239" spans="2:14" x14ac:dyDescent="0.2">
      <c r="B239" s="131" t="s">
        <v>993</v>
      </c>
      <c r="C239" s="134">
        <v>19.625</v>
      </c>
      <c r="D239" s="133">
        <v>2.1875</v>
      </c>
      <c r="E239" s="134">
        <v>17</v>
      </c>
      <c r="F239" s="133">
        <v>3.5</v>
      </c>
      <c r="G239" s="133">
        <v>4.1875</v>
      </c>
      <c r="H239" s="133">
        <v>1.75</v>
      </c>
      <c r="I239" s="134" t="s">
        <v>1008</v>
      </c>
      <c r="J239" s="134" t="s">
        <v>1008</v>
      </c>
      <c r="K239" s="123">
        <f t="shared" si="18"/>
        <v>8.5729166666666661</v>
      </c>
      <c r="L239" s="279">
        <f t="shared" si="16"/>
        <v>2.6130250039717979</v>
      </c>
      <c r="M239" s="279">
        <f t="shared" si="14"/>
        <v>744.08202212838</v>
      </c>
      <c r="N239" s="1">
        <v>500</v>
      </c>
    </row>
    <row r="240" spans="2:14" x14ac:dyDescent="0.2">
      <c r="B240" s="18" t="s">
        <v>994</v>
      </c>
      <c r="C240" s="22">
        <v>19</v>
      </c>
      <c r="D240" s="21">
        <v>2</v>
      </c>
      <c r="E240" s="22">
        <v>16.875</v>
      </c>
      <c r="F240" s="21">
        <v>3.1875</v>
      </c>
      <c r="G240" s="21">
        <v>3.875</v>
      </c>
      <c r="H240" s="21">
        <v>1.625</v>
      </c>
      <c r="I240" s="22" t="s">
        <v>1008</v>
      </c>
      <c r="J240" s="22" t="s">
        <v>1008</v>
      </c>
      <c r="K240" s="320">
        <f t="shared" si="18"/>
        <v>8.4583333333333339</v>
      </c>
      <c r="L240" s="321">
        <f t="shared" si="16"/>
        <v>2.5781000039187125</v>
      </c>
      <c r="M240" s="279">
        <f t="shared" si="14"/>
        <v>677.11464013682587</v>
      </c>
      <c r="N240" s="1">
        <v>455</v>
      </c>
    </row>
    <row r="241" spans="2:14" x14ac:dyDescent="0.2">
      <c r="B241" s="314"/>
      <c r="C241" s="322"/>
      <c r="D241" s="322"/>
      <c r="E241" s="322"/>
      <c r="F241" s="322"/>
      <c r="G241" s="322"/>
      <c r="H241" s="322"/>
      <c r="I241" s="322"/>
      <c r="J241" s="322"/>
      <c r="K241" s="323"/>
      <c r="L241" s="324"/>
      <c r="M241" s="319"/>
      <c r="N241" s="1"/>
    </row>
    <row r="242" spans="2:14" x14ac:dyDescent="0.2">
      <c r="B242" s="131" t="s">
        <v>995</v>
      </c>
      <c r="C242" s="134">
        <v>18.625</v>
      </c>
      <c r="D242" s="133">
        <v>1.875</v>
      </c>
      <c r="E242" s="134">
        <v>16.75</v>
      </c>
      <c r="F242" s="133">
        <v>3.0625</v>
      </c>
      <c r="G242" s="133">
        <v>3.6875</v>
      </c>
      <c r="H242" s="133">
        <v>1.5625</v>
      </c>
      <c r="I242" s="134" t="s">
        <v>1008</v>
      </c>
      <c r="J242" s="134" t="s">
        <v>1008</v>
      </c>
      <c r="K242" s="123">
        <f t="shared" si="18"/>
        <v>8.375</v>
      </c>
      <c r="L242" s="281">
        <f t="shared" si="16"/>
        <v>2.5527000038801044</v>
      </c>
      <c r="M242" s="279">
        <f t="shared" si="14"/>
        <v>633.95788285337972</v>
      </c>
      <c r="N242" s="1">
        <v>426</v>
      </c>
    </row>
    <row r="243" spans="2:14" x14ac:dyDescent="0.2">
      <c r="B243" s="18" t="s">
        <v>996</v>
      </c>
      <c r="C243" s="20">
        <v>18.25</v>
      </c>
      <c r="D243" s="19">
        <v>1.75</v>
      </c>
      <c r="E243" s="20">
        <v>16.625</v>
      </c>
      <c r="F243" s="19">
        <v>2.875</v>
      </c>
      <c r="G243" s="19">
        <v>3.5</v>
      </c>
      <c r="H243" s="19">
        <v>1.5</v>
      </c>
      <c r="I243" s="20" t="s">
        <v>1008</v>
      </c>
      <c r="J243" s="20" t="s">
        <v>1008</v>
      </c>
      <c r="K243" s="123">
        <f t="shared" si="18"/>
        <v>8.2916666666666661</v>
      </c>
      <c r="L243" s="279">
        <f t="shared" si="16"/>
        <v>2.5273000038414963</v>
      </c>
      <c r="M243" s="279">
        <f t="shared" si="14"/>
        <v>592.28928961419047</v>
      </c>
      <c r="N243" s="1">
        <v>398</v>
      </c>
    </row>
    <row r="244" spans="2:14" x14ac:dyDescent="0.2">
      <c r="B244" s="131" t="s">
        <v>997</v>
      </c>
      <c r="C244" s="134">
        <v>17.875</v>
      </c>
      <c r="D244" s="133">
        <v>1.625</v>
      </c>
      <c r="E244" s="134">
        <v>16.5</v>
      </c>
      <c r="F244" s="133">
        <v>2.6875</v>
      </c>
      <c r="G244" s="133">
        <v>3.3125</v>
      </c>
      <c r="H244" s="133">
        <v>1.4375</v>
      </c>
      <c r="I244" s="134" t="s">
        <v>1008</v>
      </c>
      <c r="J244" s="134" t="s">
        <v>1008</v>
      </c>
      <c r="K244" s="123">
        <f t="shared" si="18"/>
        <v>8.2083333333333339</v>
      </c>
      <c r="L244" s="279">
        <f t="shared" si="16"/>
        <v>2.5019000038028887</v>
      </c>
      <c r="M244" s="279">
        <f t="shared" si="14"/>
        <v>550.62069637500122</v>
      </c>
      <c r="N244" s="1">
        <v>370</v>
      </c>
    </row>
    <row r="245" spans="2:14" x14ac:dyDescent="0.2">
      <c r="B245" s="18" t="s">
        <v>998</v>
      </c>
      <c r="C245" s="20">
        <v>17.5</v>
      </c>
      <c r="D245" s="19">
        <v>1.5625</v>
      </c>
      <c r="E245" s="20">
        <v>16.375</v>
      </c>
      <c r="F245" s="19">
        <v>2.5</v>
      </c>
      <c r="G245" s="19">
        <v>3.125</v>
      </c>
      <c r="H245" s="19">
        <v>1.375</v>
      </c>
      <c r="I245" s="20" t="s">
        <v>1008</v>
      </c>
      <c r="J245" s="20" t="s">
        <v>1008</v>
      </c>
      <c r="K245" s="123">
        <f t="shared" si="18"/>
        <v>8.1145833333333339</v>
      </c>
      <c r="L245" s="279">
        <f t="shared" si="16"/>
        <v>2.4733250037594545</v>
      </c>
      <c r="M245" s="279">
        <f t="shared" si="14"/>
        <v>508.95210313581202</v>
      </c>
      <c r="N245" s="1">
        <v>342</v>
      </c>
    </row>
    <row r="246" spans="2:14" x14ac:dyDescent="0.2">
      <c r="B246" s="131" t="s">
        <v>999</v>
      </c>
      <c r="C246" s="134">
        <v>17.125</v>
      </c>
      <c r="D246" s="133">
        <v>1.4375</v>
      </c>
      <c r="E246" s="134">
        <v>16.25</v>
      </c>
      <c r="F246" s="133">
        <v>2.25</v>
      </c>
      <c r="G246" s="133">
        <v>2.9375</v>
      </c>
      <c r="H246" s="133">
        <v>1.3125</v>
      </c>
      <c r="I246" s="134" t="s">
        <v>1008</v>
      </c>
      <c r="J246" s="134" t="s">
        <v>1008</v>
      </c>
      <c r="K246" s="123">
        <f t="shared" si="18"/>
        <v>8.03125</v>
      </c>
      <c r="L246" s="279">
        <f t="shared" si="16"/>
        <v>2.4479250037208464</v>
      </c>
      <c r="M246" s="279">
        <f t="shared" si="14"/>
        <v>462.8190177638524</v>
      </c>
      <c r="N246" s="1">
        <v>311</v>
      </c>
    </row>
    <row r="247" spans="2:14" x14ac:dyDescent="0.2">
      <c r="B247" s="18" t="s">
        <v>1000</v>
      </c>
      <c r="C247" s="20">
        <v>16.75</v>
      </c>
      <c r="D247" s="19">
        <v>1.3125</v>
      </c>
      <c r="E247" s="20">
        <v>16.125</v>
      </c>
      <c r="F247" s="19">
        <v>2.0625</v>
      </c>
      <c r="G247" s="19">
        <v>2.75</v>
      </c>
      <c r="H247" s="19">
        <v>1.25</v>
      </c>
      <c r="I247" s="20" t="s">
        <v>1008</v>
      </c>
      <c r="J247" s="20" t="s">
        <v>1008</v>
      </c>
      <c r="K247" s="123">
        <f t="shared" si="18"/>
        <v>7.947916666666667</v>
      </c>
      <c r="L247" s="279">
        <f t="shared" si="16"/>
        <v>2.4225250036822383</v>
      </c>
      <c r="M247" s="279">
        <f t="shared" ref="M247:M310" si="19">N247*3.2808399*0.4535924</f>
        <v>421.15042452466309</v>
      </c>
      <c r="N247" s="1">
        <v>283</v>
      </c>
    </row>
    <row r="248" spans="2:14" x14ac:dyDescent="0.2">
      <c r="B248" s="131" t="s">
        <v>1001</v>
      </c>
      <c r="C248" s="134">
        <v>16.375</v>
      </c>
      <c r="D248" s="133">
        <v>1.1875</v>
      </c>
      <c r="E248" s="134">
        <v>16</v>
      </c>
      <c r="F248" s="133">
        <v>1.875</v>
      </c>
      <c r="G248" s="133">
        <v>2.5625</v>
      </c>
      <c r="H248" s="133">
        <v>1.1875</v>
      </c>
      <c r="I248" s="134" t="s">
        <v>1008</v>
      </c>
      <c r="J248" s="134" t="s">
        <v>1008</v>
      </c>
      <c r="K248" s="123">
        <f t="shared" si="18"/>
        <v>7.864583333333333</v>
      </c>
      <c r="L248" s="279">
        <f t="shared" si="16"/>
        <v>2.3971250036436298</v>
      </c>
      <c r="M248" s="279">
        <f t="shared" si="19"/>
        <v>382.45815937398737</v>
      </c>
      <c r="N248" s="1">
        <v>257</v>
      </c>
    </row>
    <row r="249" spans="2:14" x14ac:dyDescent="0.2">
      <c r="B249" s="18" t="s">
        <v>1002</v>
      </c>
      <c r="C249" s="20">
        <v>16</v>
      </c>
      <c r="D249" s="19">
        <v>1.0625</v>
      </c>
      <c r="E249" s="20">
        <v>15.875</v>
      </c>
      <c r="F249" s="19">
        <v>1.75</v>
      </c>
      <c r="G249" s="19">
        <v>2.375</v>
      </c>
      <c r="H249" s="19">
        <v>1.1875</v>
      </c>
      <c r="I249" s="20" t="s">
        <v>1008</v>
      </c>
      <c r="J249" s="20" t="s">
        <v>1008</v>
      </c>
      <c r="K249" s="123">
        <f t="shared" si="18"/>
        <v>7.78125</v>
      </c>
      <c r="L249" s="279">
        <f t="shared" si="16"/>
        <v>2.3717250036050221</v>
      </c>
      <c r="M249" s="279">
        <f t="shared" si="19"/>
        <v>346.74222231182506</v>
      </c>
      <c r="N249" s="1">
        <v>233</v>
      </c>
    </row>
    <row r="250" spans="2:14" x14ac:dyDescent="0.2">
      <c r="B250" s="131" t="s">
        <v>1003</v>
      </c>
      <c r="C250" s="134">
        <v>15.75</v>
      </c>
      <c r="D250" s="133">
        <v>1</v>
      </c>
      <c r="E250" s="134">
        <v>15.75</v>
      </c>
      <c r="F250" s="133">
        <v>1.5625</v>
      </c>
      <c r="G250" s="133">
        <v>2.25</v>
      </c>
      <c r="H250" s="133">
        <v>1.125</v>
      </c>
      <c r="I250" s="134" t="s">
        <v>1008</v>
      </c>
      <c r="J250" s="134" t="s">
        <v>1008</v>
      </c>
      <c r="K250" s="123">
        <f t="shared" si="18"/>
        <v>7.708333333333333</v>
      </c>
      <c r="L250" s="279">
        <f t="shared" si="16"/>
        <v>2.3495000035712401</v>
      </c>
      <c r="M250" s="279">
        <f t="shared" si="19"/>
        <v>314.00261333817639</v>
      </c>
      <c r="N250" s="1">
        <v>211</v>
      </c>
    </row>
    <row r="251" spans="2:14" x14ac:dyDescent="0.2">
      <c r="B251" s="18" t="s">
        <v>1004</v>
      </c>
      <c r="C251" s="20">
        <v>15.5</v>
      </c>
      <c r="D251" s="19">
        <v>0.875</v>
      </c>
      <c r="E251" s="20">
        <v>15.75</v>
      </c>
      <c r="F251" s="19">
        <v>1.4375</v>
      </c>
      <c r="G251" s="19">
        <v>2.125</v>
      </c>
      <c r="H251" s="19">
        <v>1.0625</v>
      </c>
      <c r="I251" s="20" t="s">
        <v>1008</v>
      </c>
      <c r="J251" s="20" t="s">
        <v>1008</v>
      </c>
      <c r="K251" s="123">
        <f t="shared" si="18"/>
        <v>7.6875</v>
      </c>
      <c r="L251" s="279">
        <f t="shared" si="16"/>
        <v>2.3431500035615884</v>
      </c>
      <c r="M251" s="279">
        <f t="shared" si="19"/>
        <v>287.21566054155471</v>
      </c>
      <c r="N251" s="1">
        <v>193</v>
      </c>
    </row>
    <row r="252" spans="2:14" x14ac:dyDescent="0.2">
      <c r="B252" s="131" t="s">
        <v>1005</v>
      </c>
      <c r="C252" s="134">
        <v>15.25</v>
      </c>
      <c r="D252" s="133">
        <v>0.8125</v>
      </c>
      <c r="E252" s="134">
        <v>15.625</v>
      </c>
      <c r="F252" s="133">
        <v>1.3125</v>
      </c>
      <c r="G252" s="133">
        <v>2</v>
      </c>
      <c r="H252" s="133">
        <v>1.0625</v>
      </c>
      <c r="I252" s="134" t="s">
        <v>1008</v>
      </c>
      <c r="J252" s="134" t="s">
        <v>1008</v>
      </c>
      <c r="K252" s="123">
        <f t="shared" si="18"/>
        <v>7.614583333333333</v>
      </c>
      <c r="L252" s="279">
        <f t="shared" si="16"/>
        <v>2.3209250035278064</v>
      </c>
      <c r="M252" s="279">
        <f t="shared" si="19"/>
        <v>261.91687178918977</v>
      </c>
      <c r="N252" s="1">
        <v>176</v>
      </c>
    </row>
    <row r="253" spans="2:14" x14ac:dyDescent="0.2">
      <c r="B253" s="18" t="s">
        <v>1006</v>
      </c>
      <c r="C253" s="20">
        <v>15</v>
      </c>
      <c r="D253" s="19">
        <v>0.75</v>
      </c>
      <c r="E253" s="20">
        <v>15.625</v>
      </c>
      <c r="F253" s="19">
        <v>1.1875</v>
      </c>
      <c r="G253" s="19">
        <v>1.875</v>
      </c>
      <c r="H253" s="19">
        <v>1</v>
      </c>
      <c r="I253" s="20" t="s">
        <v>1008</v>
      </c>
      <c r="J253" s="20" t="s">
        <v>1008</v>
      </c>
      <c r="K253" s="123">
        <f t="shared" si="18"/>
        <v>7.583333333333333</v>
      </c>
      <c r="L253" s="279">
        <f t="shared" si="16"/>
        <v>2.3114000035133282</v>
      </c>
      <c r="M253" s="279">
        <f t="shared" si="19"/>
        <v>236.61808303682483</v>
      </c>
      <c r="N253" s="1">
        <v>159</v>
      </c>
    </row>
    <row r="254" spans="2:14" x14ac:dyDescent="0.2">
      <c r="B254" s="131" t="s">
        <v>1007</v>
      </c>
      <c r="C254" s="134">
        <v>14.75</v>
      </c>
      <c r="D254" s="133">
        <v>0.6875</v>
      </c>
      <c r="E254" s="134">
        <v>15.5</v>
      </c>
      <c r="F254" s="133">
        <v>1.0625</v>
      </c>
      <c r="G254" s="133">
        <v>1.75</v>
      </c>
      <c r="H254" s="133">
        <v>1</v>
      </c>
      <c r="I254" s="134" t="s">
        <v>1008</v>
      </c>
      <c r="J254" s="134" t="s">
        <v>1008</v>
      </c>
      <c r="K254" s="320">
        <f t="shared" si="18"/>
        <v>7.510416666666667</v>
      </c>
      <c r="L254" s="321">
        <f t="shared" si="16"/>
        <v>2.2891750034795466</v>
      </c>
      <c r="M254" s="279">
        <f t="shared" si="19"/>
        <v>215.7837864172302</v>
      </c>
      <c r="N254" s="1">
        <v>145</v>
      </c>
    </row>
    <row r="255" spans="2:14" x14ac:dyDescent="0.2">
      <c r="B255" s="314" t="s">
        <v>899</v>
      </c>
      <c r="C255" s="322" t="s">
        <v>899</v>
      </c>
      <c r="D255" s="322" t="s">
        <v>899</v>
      </c>
      <c r="E255" s="322" t="s">
        <v>899</v>
      </c>
      <c r="F255" s="322" t="s">
        <v>899</v>
      </c>
      <c r="G255" s="322" t="s">
        <v>899</v>
      </c>
      <c r="H255" s="322" t="s">
        <v>899</v>
      </c>
      <c r="I255" s="322" t="s">
        <v>899</v>
      </c>
      <c r="J255" s="322" t="s">
        <v>899</v>
      </c>
      <c r="K255" s="323"/>
      <c r="L255" s="324"/>
      <c r="M255" s="319"/>
      <c r="N255" s="1"/>
    </row>
    <row r="256" spans="2:14" x14ac:dyDescent="0.2">
      <c r="B256" s="131" t="s">
        <v>1009</v>
      </c>
      <c r="C256" s="134">
        <v>14.625</v>
      </c>
      <c r="D256" s="133">
        <v>0.625</v>
      </c>
      <c r="E256" s="134">
        <v>14.75</v>
      </c>
      <c r="F256" s="133">
        <v>1</v>
      </c>
      <c r="G256" s="133">
        <v>1.6875</v>
      </c>
      <c r="H256" s="133">
        <v>0.9375</v>
      </c>
      <c r="I256" s="134">
        <v>5.5</v>
      </c>
      <c r="J256" s="133">
        <v>3</v>
      </c>
      <c r="K256" s="123">
        <f t="shared" ref="K256:K276" si="20">((C256-(F256*2))*2+(E256*4)+(F256*4)-(D256*2))*12/144</f>
        <v>7.25</v>
      </c>
      <c r="L256" s="281">
        <f t="shared" si="16"/>
        <v>2.2098000033588963</v>
      </c>
      <c r="M256" s="279">
        <f t="shared" si="19"/>
        <v>196.43765384189234</v>
      </c>
      <c r="N256" s="1">
        <v>132</v>
      </c>
    </row>
    <row r="257" spans="2:14" x14ac:dyDescent="0.2">
      <c r="B257" s="18" t="s">
        <v>1010</v>
      </c>
      <c r="C257" s="20">
        <v>14.5</v>
      </c>
      <c r="D257" s="19">
        <v>0.5625</v>
      </c>
      <c r="E257" s="20">
        <v>14.625</v>
      </c>
      <c r="F257" s="19">
        <v>0.9375</v>
      </c>
      <c r="G257" s="19">
        <v>1.625</v>
      </c>
      <c r="H257" s="19">
        <v>0.9375</v>
      </c>
      <c r="I257" s="20">
        <v>5.5</v>
      </c>
      <c r="J257" s="19">
        <v>3</v>
      </c>
      <c r="K257" s="123">
        <f t="shared" si="20"/>
        <v>7.197916666666667</v>
      </c>
      <c r="L257" s="279">
        <f t="shared" si="16"/>
        <v>2.1939250033347664</v>
      </c>
      <c r="M257" s="279">
        <f t="shared" si="19"/>
        <v>178.57968531081119</v>
      </c>
      <c r="N257" s="1">
        <v>120</v>
      </c>
    </row>
    <row r="258" spans="2:14" x14ac:dyDescent="0.2">
      <c r="B258" s="131" t="s">
        <v>1011</v>
      </c>
      <c r="C258" s="134">
        <v>14.375</v>
      </c>
      <c r="D258" s="133">
        <v>0.5</v>
      </c>
      <c r="E258" s="134">
        <v>14.625</v>
      </c>
      <c r="F258" s="133">
        <v>0.875</v>
      </c>
      <c r="G258" s="133">
        <v>1.5625</v>
      </c>
      <c r="H258" s="133">
        <v>0.875</v>
      </c>
      <c r="I258" s="134">
        <v>5.5</v>
      </c>
      <c r="J258" s="133">
        <v>2.75</v>
      </c>
      <c r="K258" s="123">
        <f t="shared" si="20"/>
        <v>7.1875</v>
      </c>
      <c r="L258" s="279">
        <f t="shared" si="16"/>
        <v>2.1907500033299403</v>
      </c>
      <c r="M258" s="279">
        <f t="shared" si="19"/>
        <v>162.20988082398685</v>
      </c>
      <c r="N258" s="1">
        <v>109</v>
      </c>
    </row>
    <row r="259" spans="2:14" x14ac:dyDescent="0.2">
      <c r="B259" s="18" t="s">
        <v>1012</v>
      </c>
      <c r="C259" s="20">
        <v>14.125</v>
      </c>
      <c r="D259" s="19">
        <v>0.5</v>
      </c>
      <c r="E259" s="20">
        <v>14.625</v>
      </c>
      <c r="F259" s="19">
        <v>0.75</v>
      </c>
      <c r="G259" s="19">
        <v>1.4375</v>
      </c>
      <c r="H259" s="19">
        <v>0.875</v>
      </c>
      <c r="I259" s="20">
        <v>5.5</v>
      </c>
      <c r="J259" s="19">
        <v>2.75</v>
      </c>
      <c r="K259" s="123">
        <f t="shared" si="20"/>
        <v>7.145833333333333</v>
      </c>
      <c r="L259" s="279">
        <f t="shared" si="16"/>
        <v>2.178050003310636</v>
      </c>
      <c r="M259" s="279">
        <f t="shared" si="19"/>
        <v>147.32824038141925</v>
      </c>
      <c r="N259" s="1">
        <v>99</v>
      </c>
    </row>
    <row r="260" spans="2:14" x14ac:dyDescent="0.2">
      <c r="B260" s="18" t="s">
        <v>1013</v>
      </c>
      <c r="C260" s="22">
        <v>14</v>
      </c>
      <c r="D260" s="21">
        <v>0.4375</v>
      </c>
      <c r="E260" s="22">
        <v>14.5</v>
      </c>
      <c r="F260" s="21">
        <v>0.6875</v>
      </c>
      <c r="G260" s="21">
        <v>1.375</v>
      </c>
      <c r="H260" s="21">
        <v>0.875</v>
      </c>
      <c r="I260" s="22">
        <v>5.5</v>
      </c>
      <c r="J260" s="21">
        <v>2.75</v>
      </c>
      <c r="K260" s="320">
        <f t="shared" si="20"/>
        <v>7.09375</v>
      </c>
      <c r="L260" s="321">
        <f t="shared" si="16"/>
        <v>2.1621750032865061</v>
      </c>
      <c r="M260" s="279">
        <f t="shared" si="19"/>
        <v>133.93476398310841</v>
      </c>
      <c r="N260" s="1">
        <v>90</v>
      </c>
    </row>
    <row r="261" spans="2:14" x14ac:dyDescent="0.2">
      <c r="B261" s="318"/>
      <c r="C261" s="322"/>
      <c r="D261" s="322"/>
      <c r="E261" s="322"/>
      <c r="F261" s="322"/>
      <c r="G261" s="322"/>
      <c r="H261" s="322"/>
      <c r="I261" s="322"/>
      <c r="J261" s="322"/>
      <c r="K261" s="323"/>
      <c r="L261" s="324"/>
      <c r="M261" s="319"/>
      <c r="N261" s="1"/>
    </row>
    <row r="262" spans="2:14" x14ac:dyDescent="0.2">
      <c r="B262" s="18" t="s">
        <v>1014</v>
      </c>
      <c r="C262" s="160">
        <v>14.25</v>
      </c>
      <c r="D262" s="135">
        <v>0.5</v>
      </c>
      <c r="E262" s="160">
        <v>10.125</v>
      </c>
      <c r="F262" s="135">
        <v>0.875</v>
      </c>
      <c r="G262" s="135">
        <v>1.625</v>
      </c>
      <c r="H262" s="135">
        <v>1</v>
      </c>
      <c r="I262" s="160">
        <v>5.5</v>
      </c>
      <c r="J262" s="135">
        <v>2.75</v>
      </c>
      <c r="K262" s="123">
        <f t="shared" si="20"/>
        <v>5.666666666666667</v>
      </c>
      <c r="L262" s="281">
        <f t="shared" si="16"/>
        <v>1.7272000026253445</v>
      </c>
      <c r="M262" s="279">
        <f t="shared" si="19"/>
        <v>122.02945162905432</v>
      </c>
      <c r="N262" s="1">
        <v>82</v>
      </c>
    </row>
    <row r="263" spans="2:14" x14ac:dyDescent="0.2">
      <c r="B263" s="131" t="s">
        <v>1015</v>
      </c>
      <c r="C263" s="134">
        <v>14.125</v>
      </c>
      <c r="D263" s="133">
        <v>0.4375</v>
      </c>
      <c r="E263" s="134">
        <v>10.125</v>
      </c>
      <c r="F263" s="133">
        <v>0.8125</v>
      </c>
      <c r="G263" s="133">
        <v>1.5625</v>
      </c>
      <c r="H263" s="133">
        <v>0.9375</v>
      </c>
      <c r="I263" s="134">
        <v>5.5</v>
      </c>
      <c r="J263" s="133">
        <v>2.75</v>
      </c>
      <c r="K263" s="123">
        <f t="shared" si="20"/>
        <v>5.65625</v>
      </c>
      <c r="L263" s="279">
        <f t="shared" si="16"/>
        <v>1.7240250026205179</v>
      </c>
      <c r="M263" s="279">
        <f t="shared" si="19"/>
        <v>110.12413927500025</v>
      </c>
      <c r="N263" s="1">
        <v>74</v>
      </c>
    </row>
    <row r="264" spans="2:14" x14ac:dyDescent="0.2">
      <c r="B264" s="18" t="s">
        <v>1016</v>
      </c>
      <c r="C264" s="20">
        <v>14</v>
      </c>
      <c r="D264" s="19">
        <v>0.4375</v>
      </c>
      <c r="E264" s="20">
        <v>10</v>
      </c>
      <c r="F264" s="19">
        <v>0.75</v>
      </c>
      <c r="G264" s="19">
        <v>1.5</v>
      </c>
      <c r="H264" s="19">
        <v>0.9375</v>
      </c>
      <c r="I264" s="20">
        <v>5.5</v>
      </c>
      <c r="J264" s="19">
        <v>2.75</v>
      </c>
      <c r="K264" s="123">
        <f t="shared" si="20"/>
        <v>5.59375</v>
      </c>
      <c r="L264" s="279">
        <f t="shared" si="16"/>
        <v>1.7049750025915622</v>
      </c>
      <c r="M264" s="279">
        <f t="shared" si="19"/>
        <v>101.1951550094597</v>
      </c>
      <c r="N264" s="1">
        <v>68</v>
      </c>
    </row>
    <row r="265" spans="2:14" x14ac:dyDescent="0.2">
      <c r="B265" s="18" t="s">
        <v>1017</v>
      </c>
      <c r="C265" s="22">
        <v>13.875</v>
      </c>
      <c r="D265" s="21">
        <v>0.375</v>
      </c>
      <c r="E265" s="22">
        <v>10</v>
      </c>
      <c r="F265" s="21">
        <v>0.625</v>
      </c>
      <c r="G265" s="21">
        <v>1.4375</v>
      </c>
      <c r="H265" s="21">
        <v>0.9375</v>
      </c>
      <c r="I265" s="22">
        <v>5.5</v>
      </c>
      <c r="J265" s="21">
        <v>2.75</v>
      </c>
      <c r="K265" s="320">
        <f t="shared" si="20"/>
        <v>5.583333333333333</v>
      </c>
      <c r="L265" s="321">
        <f t="shared" si="16"/>
        <v>1.7018000025867361</v>
      </c>
      <c r="M265" s="279">
        <f t="shared" si="19"/>
        <v>90.77800669966237</v>
      </c>
      <c r="N265" s="1">
        <v>61</v>
      </c>
    </row>
    <row r="266" spans="2:14" x14ac:dyDescent="0.2">
      <c r="B266" s="318"/>
      <c r="C266" s="322"/>
      <c r="D266" s="322"/>
      <c r="E266" s="322"/>
      <c r="F266" s="322"/>
      <c r="G266" s="322"/>
      <c r="H266" s="322"/>
      <c r="I266" s="322"/>
      <c r="J266" s="322"/>
      <c r="K266" s="323"/>
      <c r="L266" s="324"/>
      <c r="M266" s="319"/>
      <c r="N266" s="1"/>
    </row>
    <row r="267" spans="2:14" x14ac:dyDescent="0.2">
      <c r="B267" s="18" t="s">
        <v>1018</v>
      </c>
      <c r="C267" s="160">
        <v>13.875</v>
      </c>
      <c r="D267" s="135">
        <v>0.375</v>
      </c>
      <c r="E267" s="160">
        <v>8</v>
      </c>
      <c r="F267" s="135">
        <v>0.6875</v>
      </c>
      <c r="G267" s="135">
        <v>1.4375</v>
      </c>
      <c r="H267" s="135">
        <v>0.9375</v>
      </c>
      <c r="I267" s="160">
        <v>5.5</v>
      </c>
      <c r="J267" s="135">
        <v>2.75</v>
      </c>
      <c r="K267" s="123">
        <f t="shared" si="20"/>
        <v>4.916666666666667</v>
      </c>
      <c r="L267" s="281">
        <f t="shared" si="16"/>
        <v>1.498600002277872</v>
      </c>
      <c r="M267" s="279">
        <f t="shared" si="19"/>
        <v>78.872694345608281</v>
      </c>
      <c r="N267" s="1">
        <v>53</v>
      </c>
    </row>
    <row r="268" spans="2:14" x14ac:dyDescent="0.2">
      <c r="B268" s="131" t="s">
        <v>1019</v>
      </c>
      <c r="C268" s="134">
        <v>13.75</v>
      </c>
      <c r="D268" s="133">
        <v>0.3125</v>
      </c>
      <c r="E268" s="134">
        <v>8</v>
      </c>
      <c r="F268" s="133">
        <v>0.625</v>
      </c>
      <c r="G268" s="133">
        <v>1.375</v>
      </c>
      <c r="H268" s="133">
        <v>0.875</v>
      </c>
      <c r="I268" s="134">
        <v>5.5</v>
      </c>
      <c r="J268" s="133">
        <v>2.5</v>
      </c>
      <c r="K268" s="123">
        <f t="shared" si="20"/>
        <v>4.90625</v>
      </c>
      <c r="L268" s="279">
        <f t="shared" si="16"/>
        <v>1.4954250022730462</v>
      </c>
      <c r="M268" s="279">
        <f t="shared" si="19"/>
        <v>71.43187412432448</v>
      </c>
      <c r="N268" s="1">
        <v>48</v>
      </c>
    </row>
    <row r="269" spans="2:14" x14ac:dyDescent="0.2">
      <c r="B269" s="18" t="s">
        <v>1020</v>
      </c>
      <c r="C269" s="22">
        <v>13.625</v>
      </c>
      <c r="D269" s="21">
        <v>0.3125</v>
      </c>
      <c r="E269" s="22">
        <v>8</v>
      </c>
      <c r="F269" s="21">
        <v>0.5</v>
      </c>
      <c r="G269" s="21">
        <v>1.3125</v>
      </c>
      <c r="H269" s="21">
        <v>0.875</v>
      </c>
      <c r="I269" s="22">
        <v>5.5</v>
      </c>
      <c r="J269" s="21">
        <v>2.5</v>
      </c>
      <c r="K269" s="320">
        <f t="shared" si="20"/>
        <v>4.885416666666667</v>
      </c>
      <c r="L269" s="321">
        <f t="shared" si="16"/>
        <v>1.4890750022633943</v>
      </c>
      <c r="M269" s="279">
        <f t="shared" si="19"/>
        <v>63.99105390304068</v>
      </c>
      <c r="N269" s="1">
        <v>43</v>
      </c>
    </row>
    <row r="270" spans="2:14" x14ac:dyDescent="0.2">
      <c r="B270" s="314"/>
      <c r="C270" s="322"/>
      <c r="D270" s="322"/>
      <c r="E270" s="322"/>
      <c r="F270" s="322"/>
      <c r="G270" s="322"/>
      <c r="H270" s="322"/>
      <c r="I270" s="322"/>
      <c r="J270" s="322"/>
      <c r="K270" s="323"/>
      <c r="L270" s="324"/>
      <c r="M270" s="319"/>
      <c r="N270" s="1"/>
    </row>
    <row r="271" spans="2:14" x14ac:dyDescent="0.2">
      <c r="B271" s="131" t="s">
        <v>1021</v>
      </c>
      <c r="C271" s="134">
        <v>14.125</v>
      </c>
      <c r="D271" s="133">
        <v>0.3125</v>
      </c>
      <c r="E271" s="134">
        <v>6.75</v>
      </c>
      <c r="F271" s="133">
        <v>0.5</v>
      </c>
      <c r="G271" s="133">
        <v>1.0625</v>
      </c>
      <c r="H271" s="133">
        <v>0.625</v>
      </c>
      <c r="I271" s="134">
        <v>3.5</v>
      </c>
      <c r="J271" s="133">
        <v>2.5</v>
      </c>
      <c r="K271" s="123">
        <f t="shared" si="20"/>
        <v>4.552083333333333</v>
      </c>
      <c r="L271" s="281">
        <f t="shared" si="16"/>
        <v>1.3874750021089621</v>
      </c>
      <c r="M271" s="279">
        <f t="shared" si="19"/>
        <v>56.550233681756879</v>
      </c>
      <c r="N271" s="1">
        <v>38</v>
      </c>
    </row>
    <row r="272" spans="2:14" x14ac:dyDescent="0.2">
      <c r="B272" s="18" t="s">
        <v>1022</v>
      </c>
      <c r="C272" s="20">
        <v>14</v>
      </c>
      <c r="D272" s="19">
        <v>0.3125</v>
      </c>
      <c r="E272" s="20">
        <v>6.75</v>
      </c>
      <c r="F272" s="19">
        <v>0.4375</v>
      </c>
      <c r="G272" s="19">
        <v>1</v>
      </c>
      <c r="H272" s="19">
        <v>0.625</v>
      </c>
      <c r="I272" s="20">
        <v>3.5</v>
      </c>
      <c r="J272" s="19">
        <v>2.5</v>
      </c>
      <c r="K272" s="123">
        <f t="shared" si="20"/>
        <v>4.53125</v>
      </c>
      <c r="L272" s="279">
        <f t="shared" si="16"/>
        <v>1.3811250020993102</v>
      </c>
      <c r="M272" s="279">
        <f t="shared" si="19"/>
        <v>50.597577504729848</v>
      </c>
      <c r="N272" s="1">
        <v>34</v>
      </c>
    </row>
    <row r="273" spans="2:14" x14ac:dyDescent="0.2">
      <c r="B273" s="18" t="s">
        <v>1023</v>
      </c>
      <c r="C273" s="22">
        <v>13.875</v>
      </c>
      <c r="D273" s="21">
        <v>0.25</v>
      </c>
      <c r="E273" s="22">
        <v>6.75</v>
      </c>
      <c r="F273" s="21">
        <v>0.375</v>
      </c>
      <c r="G273" s="22">
        <v>0.9375</v>
      </c>
      <c r="H273" s="22">
        <v>0.625</v>
      </c>
      <c r="I273" s="22">
        <v>3.5</v>
      </c>
      <c r="J273" s="21">
        <v>2.5</v>
      </c>
      <c r="K273" s="320">
        <f t="shared" si="20"/>
        <v>4.520833333333333</v>
      </c>
      <c r="L273" s="321">
        <f t="shared" si="16"/>
        <v>1.3779500020944841</v>
      </c>
      <c r="M273" s="279">
        <f t="shared" si="19"/>
        <v>44.644921327702797</v>
      </c>
      <c r="N273" s="1">
        <v>30</v>
      </c>
    </row>
    <row r="274" spans="2:14" x14ac:dyDescent="0.2">
      <c r="B274" s="318"/>
      <c r="C274" s="322"/>
      <c r="D274" s="322"/>
      <c r="E274" s="322"/>
      <c r="F274" s="322"/>
      <c r="G274" s="322"/>
      <c r="H274" s="322"/>
      <c r="I274" s="322"/>
      <c r="J274" s="322"/>
      <c r="K274" s="323"/>
      <c r="L274" s="324"/>
      <c r="M274" s="319"/>
      <c r="N274" s="1"/>
    </row>
    <row r="275" spans="2:14" x14ac:dyDescent="0.2">
      <c r="B275" s="18" t="s">
        <v>1024</v>
      </c>
      <c r="C275" s="160">
        <v>13.875</v>
      </c>
      <c r="D275" s="135">
        <v>0.25</v>
      </c>
      <c r="E275" s="160">
        <v>5</v>
      </c>
      <c r="F275" s="135">
        <v>0.4375</v>
      </c>
      <c r="G275" s="160">
        <v>0.9375</v>
      </c>
      <c r="H275" s="160">
        <v>0.5625</v>
      </c>
      <c r="I275" s="160">
        <v>2.75</v>
      </c>
      <c r="J275" s="135">
        <v>2.5</v>
      </c>
      <c r="K275" s="123">
        <f t="shared" si="20"/>
        <v>3.9375</v>
      </c>
      <c r="L275" s="281">
        <f t="shared" si="16"/>
        <v>1.2001500018242282</v>
      </c>
      <c r="M275" s="279">
        <f t="shared" si="19"/>
        <v>38.692265150675766</v>
      </c>
      <c r="N275" s="1">
        <v>26</v>
      </c>
    </row>
    <row r="276" spans="2:14" x14ac:dyDescent="0.2">
      <c r="B276" s="131" t="s">
        <v>1025</v>
      </c>
      <c r="C276" s="134">
        <v>13.75</v>
      </c>
      <c r="D276" s="133">
        <v>0.25</v>
      </c>
      <c r="E276" s="134">
        <v>5</v>
      </c>
      <c r="F276" s="133">
        <v>0.3125</v>
      </c>
      <c r="G276" s="134">
        <v>0.875</v>
      </c>
      <c r="H276" s="134">
        <v>0.5625</v>
      </c>
      <c r="I276" s="134">
        <v>2.75</v>
      </c>
      <c r="J276" s="133">
        <v>2.25</v>
      </c>
      <c r="K276" s="320">
        <f t="shared" si="20"/>
        <v>3.9166666666666665</v>
      </c>
      <c r="L276" s="321">
        <f t="shared" si="16"/>
        <v>1.193800001814576</v>
      </c>
      <c r="M276" s="279">
        <f t="shared" si="19"/>
        <v>32.739608973648721</v>
      </c>
      <c r="N276" s="1">
        <v>22</v>
      </c>
    </row>
    <row r="277" spans="2:14" x14ac:dyDescent="0.2">
      <c r="B277" s="314" t="s">
        <v>899</v>
      </c>
      <c r="C277" s="322" t="s">
        <v>899</v>
      </c>
      <c r="D277" s="322" t="s">
        <v>899</v>
      </c>
      <c r="E277" s="322" t="s">
        <v>899</v>
      </c>
      <c r="F277" s="322" t="s">
        <v>899</v>
      </c>
      <c r="G277" s="322"/>
      <c r="H277" s="322"/>
      <c r="I277" s="322" t="s">
        <v>899</v>
      </c>
      <c r="J277" s="322" t="s">
        <v>899</v>
      </c>
      <c r="K277" s="323"/>
      <c r="L277" s="324"/>
      <c r="M277" s="319"/>
      <c r="N277" s="1"/>
    </row>
    <row r="278" spans="2:14" x14ac:dyDescent="0.2">
      <c r="B278" s="131" t="s">
        <v>1026</v>
      </c>
      <c r="C278" s="134">
        <v>16.875</v>
      </c>
      <c r="D278" s="133">
        <v>1.75</v>
      </c>
      <c r="E278" s="134">
        <v>13.375</v>
      </c>
      <c r="F278" s="133">
        <v>2.9375</v>
      </c>
      <c r="G278" s="134">
        <v>3.6875</v>
      </c>
      <c r="H278" s="134">
        <v>1.5</v>
      </c>
      <c r="I278" s="134" t="s">
        <v>1008</v>
      </c>
      <c r="J278" s="133" t="s">
        <v>1008</v>
      </c>
      <c r="K278" s="123">
        <f t="shared" ref="K278:K310" si="21">((C278-(F278*2))*2+(E278*4)+(F278*4)-(D278*2))*12/144</f>
        <v>6.979166666666667</v>
      </c>
      <c r="L278" s="281">
        <f t="shared" si="16"/>
        <v>2.1272500032334203</v>
      </c>
      <c r="M278" s="279">
        <f t="shared" si="19"/>
        <v>500.02311887027139</v>
      </c>
      <c r="N278" s="1">
        <v>336</v>
      </c>
    </row>
    <row r="279" spans="2:14" x14ac:dyDescent="0.2">
      <c r="B279" s="18" t="s">
        <v>1027</v>
      </c>
      <c r="C279" s="20">
        <v>16.375</v>
      </c>
      <c r="D279" s="19">
        <v>1.625</v>
      </c>
      <c r="E279" s="20">
        <v>13.25</v>
      </c>
      <c r="F279" s="19">
        <v>2.6875</v>
      </c>
      <c r="G279" s="20">
        <v>3.4375</v>
      </c>
      <c r="H279" s="20">
        <v>1.4375</v>
      </c>
      <c r="I279" s="20" t="s">
        <v>1008</v>
      </c>
      <c r="J279" s="19" t="s">
        <v>1008</v>
      </c>
      <c r="K279" s="123">
        <f t="shared" si="21"/>
        <v>6.875</v>
      </c>
      <c r="L279" s="279">
        <f t="shared" si="16"/>
        <v>2.0955000031851605</v>
      </c>
      <c r="M279" s="279">
        <f t="shared" si="19"/>
        <v>453.89003349831182</v>
      </c>
      <c r="N279" s="1">
        <v>305</v>
      </c>
    </row>
    <row r="280" spans="2:14" x14ac:dyDescent="0.2">
      <c r="B280" s="131" t="s">
        <v>1028</v>
      </c>
      <c r="C280" s="134">
        <v>15.875</v>
      </c>
      <c r="D280" s="133">
        <v>1.5</v>
      </c>
      <c r="E280" s="134">
        <v>13.125</v>
      </c>
      <c r="F280" s="133">
        <v>2.5</v>
      </c>
      <c r="G280" s="134">
        <v>3.1875</v>
      </c>
      <c r="H280" s="134">
        <v>1.375</v>
      </c>
      <c r="I280" s="134" t="s">
        <v>1008</v>
      </c>
      <c r="J280" s="133" t="s">
        <v>1008</v>
      </c>
      <c r="K280" s="123">
        <f t="shared" si="21"/>
        <v>6.770833333333333</v>
      </c>
      <c r="L280" s="279">
        <f t="shared" si="16"/>
        <v>2.0637500031369003</v>
      </c>
      <c r="M280" s="279">
        <f t="shared" si="19"/>
        <v>415.1977683476361</v>
      </c>
      <c r="N280" s="1">
        <v>279</v>
      </c>
    </row>
    <row r="281" spans="2:14" x14ac:dyDescent="0.2">
      <c r="B281" s="18" t="s">
        <v>1029</v>
      </c>
      <c r="C281" s="20">
        <v>15.375</v>
      </c>
      <c r="D281" s="19">
        <v>1.375</v>
      </c>
      <c r="E281" s="20">
        <v>13</v>
      </c>
      <c r="F281" s="19">
        <v>2.25</v>
      </c>
      <c r="G281" s="20">
        <v>2.9375</v>
      </c>
      <c r="H281" s="20">
        <v>1.3125</v>
      </c>
      <c r="I281" s="20" t="s">
        <v>1008</v>
      </c>
      <c r="J281" s="19" t="s">
        <v>1008</v>
      </c>
      <c r="K281" s="123">
        <f t="shared" si="21"/>
        <v>6.666666666666667</v>
      </c>
      <c r="L281" s="279">
        <f t="shared" si="16"/>
        <v>2.0320000030886405</v>
      </c>
      <c r="M281" s="279">
        <f t="shared" si="19"/>
        <v>375.01733915270358</v>
      </c>
      <c r="N281" s="1">
        <v>252</v>
      </c>
    </row>
    <row r="282" spans="2:14" x14ac:dyDescent="0.2">
      <c r="B282" s="131" t="s">
        <v>1030</v>
      </c>
      <c r="C282" s="134">
        <v>15</v>
      </c>
      <c r="D282" s="133">
        <v>1.3125</v>
      </c>
      <c r="E282" s="134">
        <v>12.875</v>
      </c>
      <c r="F282" s="133">
        <v>2.0625</v>
      </c>
      <c r="G282" s="134">
        <v>2.75</v>
      </c>
      <c r="H282" s="134">
        <v>1.25</v>
      </c>
      <c r="I282" s="134" t="s">
        <v>1008</v>
      </c>
      <c r="J282" s="133" t="s">
        <v>1008</v>
      </c>
      <c r="K282" s="123">
        <f t="shared" si="21"/>
        <v>6.572916666666667</v>
      </c>
      <c r="L282" s="279">
        <f t="shared" si="16"/>
        <v>2.0034250030452063</v>
      </c>
      <c r="M282" s="279">
        <f t="shared" si="19"/>
        <v>342.27773017905486</v>
      </c>
      <c r="N282" s="1">
        <v>230</v>
      </c>
    </row>
    <row r="283" spans="2:14" x14ac:dyDescent="0.2">
      <c r="B283" s="18" t="s">
        <v>1031</v>
      </c>
      <c r="C283" s="20">
        <v>14.75</v>
      </c>
      <c r="D283" s="19">
        <v>1.1875</v>
      </c>
      <c r="E283" s="20">
        <v>12.75</v>
      </c>
      <c r="F283" s="19">
        <v>1.875</v>
      </c>
      <c r="G283" s="20">
        <v>2.625</v>
      </c>
      <c r="H283" s="20">
        <v>1.25</v>
      </c>
      <c r="I283" s="20" t="s">
        <v>1008</v>
      </c>
      <c r="J283" s="19" t="s">
        <v>1008</v>
      </c>
      <c r="K283" s="123">
        <f t="shared" si="21"/>
        <v>6.510416666666667</v>
      </c>
      <c r="L283" s="279">
        <f t="shared" ref="L283:L345" si="22">K283*3.2808399*0.09290304</f>
        <v>1.9843750030162504</v>
      </c>
      <c r="M283" s="279">
        <f t="shared" si="19"/>
        <v>312.51444929391965</v>
      </c>
      <c r="N283" s="1">
        <v>210</v>
      </c>
    </row>
    <row r="284" spans="2:14" x14ac:dyDescent="0.2">
      <c r="B284" s="131" t="s">
        <v>1032</v>
      </c>
      <c r="C284" s="134">
        <v>14.375</v>
      </c>
      <c r="D284" s="133">
        <v>1.0625</v>
      </c>
      <c r="E284" s="134">
        <v>12.625</v>
      </c>
      <c r="F284" s="133">
        <v>1.75</v>
      </c>
      <c r="G284" s="134">
        <v>2.4375</v>
      </c>
      <c r="H284" s="134">
        <v>1.1875</v>
      </c>
      <c r="I284" s="134" t="s">
        <v>1008</v>
      </c>
      <c r="J284" s="133" t="s">
        <v>1008</v>
      </c>
      <c r="K284" s="123">
        <f t="shared" si="21"/>
        <v>6.427083333333333</v>
      </c>
      <c r="L284" s="279">
        <f t="shared" si="22"/>
        <v>1.958975002977642</v>
      </c>
      <c r="M284" s="279">
        <f t="shared" si="19"/>
        <v>282.75116840878445</v>
      </c>
      <c r="N284" s="1">
        <v>190</v>
      </c>
    </row>
    <row r="285" spans="2:14" x14ac:dyDescent="0.2">
      <c r="B285" s="18" t="s">
        <v>1033</v>
      </c>
      <c r="C285" s="20">
        <v>14</v>
      </c>
      <c r="D285" s="19">
        <v>0.9375</v>
      </c>
      <c r="E285" s="20">
        <v>12.625</v>
      </c>
      <c r="F285" s="19">
        <v>1.5625</v>
      </c>
      <c r="G285" s="20">
        <v>2.25</v>
      </c>
      <c r="H285" s="20">
        <v>1.125</v>
      </c>
      <c r="I285" s="20" t="s">
        <v>1008</v>
      </c>
      <c r="J285" s="19" t="s">
        <v>1008</v>
      </c>
      <c r="K285" s="123">
        <f t="shared" si="21"/>
        <v>6.385416666666667</v>
      </c>
      <c r="L285" s="279">
        <f t="shared" si="22"/>
        <v>1.9462750029583382</v>
      </c>
      <c r="M285" s="279">
        <f t="shared" si="19"/>
        <v>252.98788752364922</v>
      </c>
      <c r="N285" s="1">
        <v>170</v>
      </c>
    </row>
    <row r="286" spans="2:14" x14ac:dyDescent="0.2">
      <c r="B286" s="131" t="s">
        <v>1034</v>
      </c>
      <c r="C286" s="134">
        <v>13.75</v>
      </c>
      <c r="D286" s="133">
        <v>0.875</v>
      </c>
      <c r="E286" s="134">
        <v>12.5</v>
      </c>
      <c r="F286" s="133">
        <v>1.375</v>
      </c>
      <c r="G286" s="134">
        <v>2.125</v>
      </c>
      <c r="H286" s="134">
        <v>1.0625</v>
      </c>
      <c r="I286" s="134" t="s">
        <v>1008</v>
      </c>
      <c r="J286" s="133" t="s">
        <v>1008</v>
      </c>
      <c r="K286" s="123">
        <f t="shared" si="21"/>
        <v>6.3125</v>
      </c>
      <c r="L286" s="279">
        <f t="shared" si="22"/>
        <v>1.9240500029245562</v>
      </c>
      <c r="M286" s="279">
        <f t="shared" si="19"/>
        <v>226.20093472702752</v>
      </c>
      <c r="N286" s="1">
        <v>152</v>
      </c>
    </row>
    <row r="287" spans="2:14" x14ac:dyDescent="0.2">
      <c r="B287" s="18" t="s">
        <v>1035</v>
      </c>
      <c r="C287" s="20">
        <v>13.375</v>
      </c>
      <c r="D287" s="19">
        <v>0.8125</v>
      </c>
      <c r="E287" s="20">
        <v>12.375</v>
      </c>
      <c r="F287" s="19">
        <v>1.25</v>
      </c>
      <c r="G287" s="20">
        <v>1.9375</v>
      </c>
      <c r="H287" s="20">
        <v>1</v>
      </c>
      <c r="I287" s="20" t="s">
        <v>1008</v>
      </c>
      <c r="J287" s="19" t="s">
        <v>1008</v>
      </c>
      <c r="K287" s="123">
        <f t="shared" si="21"/>
        <v>6.21875</v>
      </c>
      <c r="L287" s="279">
        <f t="shared" si="22"/>
        <v>1.8954750028811223</v>
      </c>
      <c r="M287" s="279">
        <f t="shared" si="19"/>
        <v>202.39031001891939</v>
      </c>
      <c r="N287" s="1">
        <v>136</v>
      </c>
    </row>
    <row r="288" spans="2:14" x14ac:dyDescent="0.2">
      <c r="B288" s="131" t="s">
        <v>1036</v>
      </c>
      <c r="C288" s="134">
        <v>13.125</v>
      </c>
      <c r="D288" s="133">
        <v>0.6875</v>
      </c>
      <c r="E288" s="134">
        <v>12.375</v>
      </c>
      <c r="F288" s="133">
        <v>1.125</v>
      </c>
      <c r="G288" s="134">
        <v>1.8125</v>
      </c>
      <c r="H288" s="134">
        <v>1</v>
      </c>
      <c r="I288" s="134">
        <v>5.5</v>
      </c>
      <c r="J288" s="133">
        <v>3</v>
      </c>
      <c r="K288" s="123">
        <f t="shared" si="21"/>
        <v>6.197916666666667</v>
      </c>
      <c r="L288" s="279">
        <f t="shared" si="22"/>
        <v>1.8891250028714703</v>
      </c>
      <c r="M288" s="279">
        <f t="shared" si="19"/>
        <v>178.57968531081119</v>
      </c>
      <c r="N288" s="1">
        <v>120</v>
      </c>
    </row>
    <row r="289" spans="2:14" x14ac:dyDescent="0.2">
      <c r="B289" s="18" t="s">
        <v>1037</v>
      </c>
      <c r="C289" s="20">
        <v>12.875</v>
      </c>
      <c r="D289" s="19">
        <v>0.625</v>
      </c>
      <c r="E289" s="20">
        <v>12.25</v>
      </c>
      <c r="F289" s="19">
        <v>1</v>
      </c>
      <c r="G289" s="20">
        <v>1.6875</v>
      </c>
      <c r="H289" s="20">
        <v>0.9375</v>
      </c>
      <c r="I289" s="20">
        <v>5.5</v>
      </c>
      <c r="J289" s="19">
        <v>3</v>
      </c>
      <c r="K289" s="123">
        <f t="shared" si="21"/>
        <v>6.125</v>
      </c>
      <c r="L289" s="279">
        <f t="shared" si="22"/>
        <v>1.8669000028376881</v>
      </c>
      <c r="M289" s="279">
        <f t="shared" si="19"/>
        <v>157.74538869121656</v>
      </c>
      <c r="N289" s="1">
        <v>106</v>
      </c>
    </row>
    <row r="290" spans="2:14" x14ac:dyDescent="0.2">
      <c r="B290" s="131" t="s">
        <v>1038</v>
      </c>
      <c r="C290" s="134">
        <v>12.75</v>
      </c>
      <c r="D290" s="133">
        <v>0.5625</v>
      </c>
      <c r="E290" s="134">
        <v>12.125</v>
      </c>
      <c r="F290" s="133">
        <v>0.875</v>
      </c>
      <c r="G290" s="134">
        <v>1.625</v>
      </c>
      <c r="H290" s="134">
        <v>0.875</v>
      </c>
      <c r="I290" s="134">
        <v>5.5</v>
      </c>
      <c r="J290" s="133">
        <v>3</v>
      </c>
      <c r="K290" s="123">
        <f t="shared" si="21"/>
        <v>6.072916666666667</v>
      </c>
      <c r="L290" s="279">
        <f t="shared" si="22"/>
        <v>1.8510250028135582</v>
      </c>
      <c r="M290" s="279">
        <f t="shared" si="19"/>
        <v>142.86374824864896</v>
      </c>
      <c r="N290" s="1">
        <v>96</v>
      </c>
    </row>
    <row r="291" spans="2:14" x14ac:dyDescent="0.2">
      <c r="B291" s="18" t="s">
        <v>1039</v>
      </c>
      <c r="C291" s="20">
        <v>12.5</v>
      </c>
      <c r="D291" s="19">
        <v>0.5</v>
      </c>
      <c r="E291" s="20">
        <v>12.125</v>
      </c>
      <c r="F291" s="19">
        <v>0.8125</v>
      </c>
      <c r="G291" s="20">
        <v>1.5</v>
      </c>
      <c r="H291" s="20">
        <v>0.875</v>
      </c>
      <c r="I291" s="20">
        <v>5.5</v>
      </c>
      <c r="J291" s="19">
        <v>2.75</v>
      </c>
      <c r="K291" s="123">
        <f t="shared" si="21"/>
        <v>6.041666666666667</v>
      </c>
      <c r="L291" s="279">
        <f t="shared" si="22"/>
        <v>1.8415000027990804</v>
      </c>
      <c r="M291" s="279">
        <f t="shared" si="19"/>
        <v>129.47027185033812</v>
      </c>
      <c r="N291" s="1">
        <v>87</v>
      </c>
    </row>
    <row r="292" spans="2:14" x14ac:dyDescent="0.2">
      <c r="B292" s="131" t="s">
        <v>1040</v>
      </c>
      <c r="C292" s="134">
        <v>12.375</v>
      </c>
      <c r="D292" s="133">
        <v>0.5</v>
      </c>
      <c r="E292" s="134">
        <v>12.125</v>
      </c>
      <c r="F292" s="133">
        <v>0.75</v>
      </c>
      <c r="G292" s="134">
        <v>1.4375</v>
      </c>
      <c r="H292" s="134">
        <v>0.875</v>
      </c>
      <c r="I292" s="134">
        <v>5.5</v>
      </c>
      <c r="J292" s="133">
        <v>2.75</v>
      </c>
      <c r="K292" s="123">
        <f t="shared" si="21"/>
        <v>6.020833333333333</v>
      </c>
      <c r="L292" s="279">
        <f t="shared" si="22"/>
        <v>1.8351500027894279</v>
      </c>
      <c r="M292" s="279">
        <f t="shared" si="19"/>
        <v>117.56495949628405</v>
      </c>
      <c r="N292" s="1">
        <v>79</v>
      </c>
    </row>
    <row r="293" spans="2:14" x14ac:dyDescent="0.2">
      <c r="B293" s="18" t="s">
        <v>1041</v>
      </c>
      <c r="C293" s="20">
        <v>12.25</v>
      </c>
      <c r="D293" s="19">
        <v>0.4375</v>
      </c>
      <c r="E293" s="20">
        <v>12</v>
      </c>
      <c r="F293" s="19">
        <v>0.6875</v>
      </c>
      <c r="G293" s="20">
        <v>1.375</v>
      </c>
      <c r="H293" s="20">
        <v>0.875</v>
      </c>
      <c r="I293" s="20">
        <v>5.5</v>
      </c>
      <c r="J293" s="19">
        <v>2.75</v>
      </c>
      <c r="K293" s="123">
        <f t="shared" si="21"/>
        <v>5.96875</v>
      </c>
      <c r="L293" s="279">
        <f t="shared" si="22"/>
        <v>1.819275002765298</v>
      </c>
      <c r="M293" s="279">
        <f t="shared" si="19"/>
        <v>107.14781118648672</v>
      </c>
      <c r="N293" s="1">
        <v>72</v>
      </c>
    </row>
    <row r="294" spans="2:14" x14ac:dyDescent="0.2">
      <c r="B294" s="18" t="s">
        <v>1042</v>
      </c>
      <c r="C294" s="22">
        <v>12.125</v>
      </c>
      <c r="D294" s="21">
        <v>0.375</v>
      </c>
      <c r="E294" s="22">
        <v>12</v>
      </c>
      <c r="F294" s="21">
        <v>0.625</v>
      </c>
      <c r="G294" s="22">
        <v>1.3125</v>
      </c>
      <c r="H294" s="22">
        <v>0.8125</v>
      </c>
      <c r="I294" s="22">
        <v>5.5</v>
      </c>
      <c r="J294" s="21">
        <v>2.5</v>
      </c>
      <c r="K294" s="320">
        <f t="shared" si="21"/>
        <v>5.958333333333333</v>
      </c>
      <c r="L294" s="321">
        <f t="shared" si="22"/>
        <v>1.8161000027604721</v>
      </c>
      <c r="M294" s="279">
        <f t="shared" si="19"/>
        <v>96.730662876689408</v>
      </c>
      <c r="N294" s="1">
        <v>65</v>
      </c>
    </row>
    <row r="295" spans="2:14" x14ac:dyDescent="0.2">
      <c r="B295" s="318"/>
      <c r="C295" s="322"/>
      <c r="D295" s="322"/>
      <c r="E295" s="322"/>
      <c r="F295" s="322"/>
      <c r="G295" s="322"/>
      <c r="H295" s="322"/>
      <c r="I295" s="322"/>
      <c r="J295" s="322"/>
      <c r="K295" s="323"/>
      <c r="L295" s="324"/>
      <c r="M295" s="319"/>
      <c r="N295" s="1"/>
    </row>
    <row r="296" spans="2:14" x14ac:dyDescent="0.2">
      <c r="B296" s="18" t="s">
        <v>1043</v>
      </c>
      <c r="C296" s="160">
        <v>12.25</v>
      </c>
      <c r="D296" s="135">
        <v>0.375</v>
      </c>
      <c r="E296" s="160">
        <v>10</v>
      </c>
      <c r="F296" s="135">
        <v>0.625</v>
      </c>
      <c r="G296" s="160">
        <v>1.375</v>
      </c>
      <c r="H296" s="160">
        <v>0.8125</v>
      </c>
      <c r="I296" s="160">
        <v>5.5</v>
      </c>
      <c r="J296" s="135">
        <v>2.75</v>
      </c>
      <c r="K296" s="123">
        <f t="shared" si="21"/>
        <v>5.3125</v>
      </c>
      <c r="L296" s="281">
        <f t="shared" si="22"/>
        <v>1.6192500024612602</v>
      </c>
      <c r="M296" s="279">
        <f t="shared" si="19"/>
        <v>86.313514566892081</v>
      </c>
      <c r="N296" s="1">
        <v>58</v>
      </c>
    </row>
    <row r="297" spans="2:14" x14ac:dyDescent="0.2">
      <c r="B297" s="18" t="s">
        <v>1044</v>
      </c>
      <c r="C297" s="22">
        <v>12</v>
      </c>
      <c r="D297" s="21">
        <v>0.375</v>
      </c>
      <c r="E297" s="22">
        <v>10</v>
      </c>
      <c r="F297" s="21">
        <v>0.5625</v>
      </c>
      <c r="G297" s="22">
        <v>1.25</v>
      </c>
      <c r="H297" s="22">
        <v>0.8125</v>
      </c>
      <c r="I297" s="22">
        <v>5.5</v>
      </c>
      <c r="J297" s="21">
        <v>2.5</v>
      </c>
      <c r="K297" s="320">
        <f t="shared" si="21"/>
        <v>5.270833333333333</v>
      </c>
      <c r="L297" s="321">
        <f t="shared" si="22"/>
        <v>1.6065500024419561</v>
      </c>
      <c r="M297" s="279">
        <f t="shared" si="19"/>
        <v>78.872694345608281</v>
      </c>
      <c r="N297" s="1">
        <v>53</v>
      </c>
    </row>
    <row r="298" spans="2:14" x14ac:dyDescent="0.2">
      <c r="B298" s="318"/>
      <c r="C298" s="322"/>
      <c r="D298" s="322"/>
      <c r="E298" s="322"/>
      <c r="F298" s="322"/>
      <c r="G298" s="322"/>
      <c r="H298" s="322"/>
      <c r="I298" s="322"/>
      <c r="J298" s="322"/>
      <c r="K298" s="323"/>
      <c r="L298" s="324"/>
      <c r="M298" s="319"/>
      <c r="N298" s="1"/>
    </row>
    <row r="299" spans="2:14" x14ac:dyDescent="0.2">
      <c r="B299" s="18" t="s">
        <v>1045</v>
      </c>
      <c r="C299" s="160">
        <v>12.25</v>
      </c>
      <c r="D299" s="135">
        <v>0.375</v>
      </c>
      <c r="E299" s="160">
        <v>8.125</v>
      </c>
      <c r="F299" s="135">
        <v>0.625</v>
      </c>
      <c r="G299" s="160">
        <v>1.375</v>
      </c>
      <c r="H299" s="160">
        <v>0.8125</v>
      </c>
      <c r="I299" s="160">
        <v>5.5</v>
      </c>
      <c r="J299" s="135">
        <v>2.75</v>
      </c>
      <c r="K299" s="123">
        <f t="shared" si="21"/>
        <v>4.6875</v>
      </c>
      <c r="L299" s="281">
        <f t="shared" si="22"/>
        <v>1.4287500021717001</v>
      </c>
      <c r="M299" s="279">
        <f t="shared" si="19"/>
        <v>74.408202212838006</v>
      </c>
      <c r="N299" s="1">
        <v>50</v>
      </c>
    </row>
    <row r="300" spans="2:14" x14ac:dyDescent="0.2">
      <c r="B300" s="131" t="s">
        <v>1046</v>
      </c>
      <c r="C300" s="134">
        <v>12</v>
      </c>
      <c r="D300" s="133">
        <v>0.3125</v>
      </c>
      <c r="E300" s="134">
        <v>8</v>
      </c>
      <c r="F300" s="133">
        <v>0.5625</v>
      </c>
      <c r="G300" s="134">
        <v>1.25</v>
      </c>
      <c r="H300" s="134">
        <v>0.8125</v>
      </c>
      <c r="I300" s="134">
        <v>5.5</v>
      </c>
      <c r="J300" s="133">
        <v>2.5</v>
      </c>
      <c r="K300" s="123">
        <f t="shared" si="21"/>
        <v>4.614583333333333</v>
      </c>
      <c r="L300" s="279">
        <f t="shared" si="22"/>
        <v>1.4065250021379181</v>
      </c>
      <c r="M300" s="279">
        <f t="shared" si="19"/>
        <v>66.967381991554205</v>
      </c>
      <c r="N300" s="1">
        <v>45</v>
      </c>
    </row>
    <row r="301" spans="2:14" x14ac:dyDescent="0.2">
      <c r="B301" s="18" t="s">
        <v>1047</v>
      </c>
      <c r="C301" s="22">
        <v>12</v>
      </c>
      <c r="D301" s="21">
        <v>0.3125</v>
      </c>
      <c r="E301" s="22">
        <v>8</v>
      </c>
      <c r="F301" s="21">
        <v>0.5</v>
      </c>
      <c r="G301" s="22">
        <v>1.25</v>
      </c>
      <c r="H301" s="22">
        <v>0.75</v>
      </c>
      <c r="I301" s="22">
        <v>5.5</v>
      </c>
      <c r="J301" s="21">
        <v>2.5</v>
      </c>
      <c r="K301" s="320">
        <f t="shared" si="21"/>
        <v>4.614583333333333</v>
      </c>
      <c r="L301" s="321">
        <f t="shared" si="22"/>
        <v>1.4065250021379181</v>
      </c>
      <c r="M301" s="279">
        <f t="shared" si="19"/>
        <v>59.526561770270405</v>
      </c>
      <c r="N301" s="1">
        <v>40</v>
      </c>
    </row>
    <row r="302" spans="2:14" x14ac:dyDescent="0.2">
      <c r="B302" s="314"/>
      <c r="C302" s="322"/>
      <c r="D302" s="322"/>
      <c r="E302" s="322"/>
      <c r="F302" s="322"/>
      <c r="G302" s="322"/>
      <c r="H302" s="322"/>
      <c r="I302" s="322"/>
      <c r="J302" s="322"/>
      <c r="K302" s="323"/>
      <c r="L302" s="324"/>
      <c r="M302" s="319"/>
      <c r="N302" s="1"/>
    </row>
    <row r="303" spans="2:14" x14ac:dyDescent="0.2">
      <c r="B303" s="131" t="s">
        <v>1048</v>
      </c>
      <c r="C303" s="134">
        <v>12.5</v>
      </c>
      <c r="D303" s="133">
        <v>0.3125</v>
      </c>
      <c r="E303" s="134">
        <v>6.5</v>
      </c>
      <c r="F303" s="133">
        <v>0.5</v>
      </c>
      <c r="G303" s="134">
        <v>1</v>
      </c>
      <c r="H303" s="134">
        <v>0.5625</v>
      </c>
      <c r="I303" s="134">
        <v>3.5</v>
      </c>
      <c r="J303" s="133">
        <v>2.5</v>
      </c>
      <c r="K303" s="123">
        <f t="shared" si="21"/>
        <v>4.197916666666667</v>
      </c>
      <c r="L303" s="281">
        <f t="shared" si="22"/>
        <v>1.2795250019448781</v>
      </c>
      <c r="M303" s="279">
        <f t="shared" si="19"/>
        <v>52.085741548986604</v>
      </c>
      <c r="N303" s="1">
        <v>35</v>
      </c>
    </row>
    <row r="304" spans="2:14" x14ac:dyDescent="0.2">
      <c r="B304" s="18" t="s">
        <v>1049</v>
      </c>
      <c r="C304" s="20">
        <v>12.375</v>
      </c>
      <c r="D304" s="19">
        <v>0.25</v>
      </c>
      <c r="E304" s="20">
        <v>6.5</v>
      </c>
      <c r="F304" s="19">
        <v>0.4375</v>
      </c>
      <c r="G304" s="20">
        <v>0.9375</v>
      </c>
      <c r="H304" s="20">
        <v>0.5</v>
      </c>
      <c r="I304" s="20">
        <v>3.5</v>
      </c>
      <c r="J304" s="19">
        <v>2.5</v>
      </c>
      <c r="K304" s="123">
        <f t="shared" si="21"/>
        <v>4.1875</v>
      </c>
      <c r="L304" s="279">
        <f t="shared" si="22"/>
        <v>1.2763500019400522</v>
      </c>
      <c r="M304" s="279">
        <f t="shared" si="19"/>
        <v>44.644921327702797</v>
      </c>
      <c r="N304" s="1">
        <v>30</v>
      </c>
    </row>
    <row r="305" spans="2:14" x14ac:dyDescent="0.2">
      <c r="B305" s="18" t="s">
        <v>1050</v>
      </c>
      <c r="C305" s="22">
        <v>12.25</v>
      </c>
      <c r="D305" s="21">
        <v>0.25</v>
      </c>
      <c r="E305" s="22">
        <v>6.5</v>
      </c>
      <c r="F305" s="21">
        <v>0.375</v>
      </c>
      <c r="G305" s="22">
        <v>0.875</v>
      </c>
      <c r="H305" s="22">
        <v>0.5</v>
      </c>
      <c r="I305" s="22">
        <v>3.5</v>
      </c>
      <c r="J305" s="21">
        <v>2.5</v>
      </c>
      <c r="K305" s="320">
        <f t="shared" si="21"/>
        <v>4.166666666666667</v>
      </c>
      <c r="L305" s="321">
        <f t="shared" si="22"/>
        <v>1.2700000019304003</v>
      </c>
      <c r="M305" s="279">
        <f t="shared" si="19"/>
        <v>38.692265150675766</v>
      </c>
      <c r="N305" s="1">
        <v>26</v>
      </c>
    </row>
    <row r="306" spans="2:14" x14ac:dyDescent="0.2">
      <c r="B306" s="318"/>
      <c r="C306" s="322"/>
      <c r="D306" s="322"/>
      <c r="E306" s="322"/>
      <c r="F306" s="322"/>
      <c r="G306" s="322"/>
      <c r="H306" s="322"/>
      <c r="I306" s="322"/>
      <c r="J306" s="322"/>
      <c r="K306" s="323"/>
      <c r="L306" s="324"/>
      <c r="M306" s="319"/>
      <c r="N306" s="1"/>
    </row>
    <row r="307" spans="2:14" x14ac:dyDescent="0.2">
      <c r="B307" s="18" t="s">
        <v>1051</v>
      </c>
      <c r="C307" s="160">
        <v>12.25</v>
      </c>
      <c r="D307" s="135">
        <v>0.25</v>
      </c>
      <c r="E307" s="160">
        <v>4</v>
      </c>
      <c r="F307" s="135">
        <v>0.4375</v>
      </c>
      <c r="G307" s="160">
        <v>0.875</v>
      </c>
      <c r="H307" s="160">
        <v>0.5</v>
      </c>
      <c r="I307" s="160">
        <v>2.25</v>
      </c>
      <c r="J307" s="135">
        <v>2.5</v>
      </c>
      <c r="K307" s="123">
        <f t="shared" si="21"/>
        <v>3.3333333333333335</v>
      </c>
      <c r="L307" s="281">
        <f t="shared" si="22"/>
        <v>1.0160000015443202</v>
      </c>
      <c r="M307" s="279">
        <f t="shared" si="19"/>
        <v>32.739608973648721</v>
      </c>
      <c r="N307" s="1">
        <v>22</v>
      </c>
    </row>
    <row r="308" spans="2:14" x14ac:dyDescent="0.2">
      <c r="B308" s="131" t="s">
        <v>1054</v>
      </c>
      <c r="C308" s="134">
        <v>12.125</v>
      </c>
      <c r="D308" s="133">
        <v>0.25</v>
      </c>
      <c r="E308" s="134">
        <v>4</v>
      </c>
      <c r="F308" s="133">
        <v>0.375</v>
      </c>
      <c r="G308" s="134">
        <v>0.8125</v>
      </c>
      <c r="H308" s="134">
        <v>0.5</v>
      </c>
      <c r="I308" s="134">
        <v>2.25</v>
      </c>
      <c r="J308" s="133">
        <v>2.25</v>
      </c>
      <c r="K308" s="123">
        <f t="shared" si="21"/>
        <v>3.3125</v>
      </c>
      <c r="L308" s="279">
        <f t="shared" si="22"/>
        <v>1.0096500015346681</v>
      </c>
      <c r="M308" s="279">
        <f t="shared" si="19"/>
        <v>28.275116840878439</v>
      </c>
      <c r="N308" s="1">
        <v>19</v>
      </c>
    </row>
    <row r="309" spans="2:14" x14ac:dyDescent="0.2">
      <c r="B309" s="18" t="s">
        <v>1052</v>
      </c>
      <c r="C309" s="20">
        <v>12</v>
      </c>
      <c r="D309" s="19">
        <v>0.25</v>
      </c>
      <c r="E309" s="20">
        <v>4</v>
      </c>
      <c r="F309" s="19">
        <v>0.25</v>
      </c>
      <c r="G309" s="20">
        <v>0.75</v>
      </c>
      <c r="H309" s="20">
        <v>0.5</v>
      </c>
      <c r="I309" s="20">
        <v>2.25</v>
      </c>
      <c r="J309" s="19">
        <v>2.25</v>
      </c>
      <c r="K309" s="123">
        <f t="shared" si="21"/>
        <v>3.2916666666666665</v>
      </c>
      <c r="L309" s="279">
        <f t="shared" si="22"/>
        <v>1.003300001525016</v>
      </c>
      <c r="M309" s="279">
        <f t="shared" si="19"/>
        <v>23.810624708108161</v>
      </c>
      <c r="N309" s="1">
        <v>16</v>
      </c>
    </row>
    <row r="310" spans="2:14" x14ac:dyDescent="0.2">
      <c r="B310" s="131" t="s">
        <v>1053</v>
      </c>
      <c r="C310" s="134">
        <v>11.875</v>
      </c>
      <c r="D310" s="133">
        <v>0.1875</v>
      </c>
      <c r="E310" s="134">
        <v>4</v>
      </c>
      <c r="F310" s="133">
        <v>0.25</v>
      </c>
      <c r="G310" s="134">
        <v>0.6875</v>
      </c>
      <c r="H310" s="134">
        <v>0.5</v>
      </c>
      <c r="I310" s="134">
        <v>2.25</v>
      </c>
      <c r="J310" s="133">
        <v>2.25</v>
      </c>
      <c r="K310" s="320">
        <f t="shared" si="21"/>
        <v>3.28125</v>
      </c>
      <c r="L310" s="321">
        <f t="shared" si="22"/>
        <v>1.0001250015201901</v>
      </c>
      <c r="M310" s="279">
        <f t="shared" si="19"/>
        <v>20.834296619594642</v>
      </c>
      <c r="N310" s="1">
        <v>14</v>
      </c>
    </row>
    <row r="311" spans="2:14" x14ac:dyDescent="0.2">
      <c r="B311" s="314" t="s">
        <v>899</v>
      </c>
      <c r="C311" s="322" t="s">
        <v>899</v>
      </c>
      <c r="D311" s="322" t="s">
        <v>899</v>
      </c>
      <c r="E311" s="322" t="s">
        <v>899</v>
      </c>
      <c r="F311" s="322" t="s">
        <v>899</v>
      </c>
      <c r="G311" s="322"/>
      <c r="H311" s="322"/>
      <c r="I311" s="322" t="s">
        <v>899</v>
      </c>
      <c r="J311" s="322" t="s">
        <v>899</v>
      </c>
      <c r="K311" s="323"/>
      <c r="L311" s="324"/>
      <c r="M311" s="319"/>
      <c r="N311" s="1"/>
    </row>
    <row r="312" spans="2:14" x14ac:dyDescent="0.2">
      <c r="B312" s="131" t="s">
        <v>1055</v>
      </c>
      <c r="C312" s="134">
        <v>11.375</v>
      </c>
      <c r="D312" s="133">
        <v>0.75</v>
      </c>
      <c r="E312" s="134">
        <v>10.375</v>
      </c>
      <c r="F312" s="133">
        <v>1.25</v>
      </c>
      <c r="G312" s="134">
        <v>1.875</v>
      </c>
      <c r="H312" s="134">
        <v>0.9375</v>
      </c>
      <c r="I312" s="134" t="s">
        <v>1008</v>
      </c>
      <c r="J312" s="133" t="s">
        <v>1008</v>
      </c>
      <c r="K312" s="123">
        <f t="shared" ref="K312:K332" si="23">((C312-(F312*2))*2+(E312*4)+(F312*4)-(D312*2))*12/144</f>
        <v>5.229166666666667</v>
      </c>
      <c r="L312" s="281">
        <f t="shared" si="22"/>
        <v>1.5938500024226521</v>
      </c>
      <c r="M312" s="279">
        <f t="shared" ref="M312:M362" si="24">N312*3.2808399*0.4535924</f>
        <v>166.67437295675714</v>
      </c>
      <c r="N312" s="1">
        <v>112</v>
      </c>
    </row>
    <row r="313" spans="2:14" x14ac:dyDescent="0.2">
      <c r="B313" s="18" t="s">
        <v>1056</v>
      </c>
      <c r="C313" s="20">
        <v>11.125</v>
      </c>
      <c r="D313" s="19">
        <v>0.6875</v>
      </c>
      <c r="E313" s="20">
        <v>10.375</v>
      </c>
      <c r="F313" s="19">
        <v>1.125</v>
      </c>
      <c r="G313" s="20">
        <v>1.75</v>
      </c>
      <c r="H313" s="20">
        <v>0.875</v>
      </c>
      <c r="I313" s="20" t="s">
        <v>1008</v>
      </c>
      <c r="J313" s="19" t="s">
        <v>1008</v>
      </c>
      <c r="K313" s="123">
        <f t="shared" si="23"/>
        <v>5.197916666666667</v>
      </c>
      <c r="L313" s="279">
        <f t="shared" si="22"/>
        <v>1.5843250024081743</v>
      </c>
      <c r="M313" s="279">
        <f t="shared" si="24"/>
        <v>148.81640442567601</v>
      </c>
      <c r="N313" s="1">
        <v>100</v>
      </c>
    </row>
    <row r="314" spans="2:14" x14ac:dyDescent="0.2">
      <c r="B314" s="131" t="s">
        <v>1057</v>
      </c>
      <c r="C314" s="134">
        <v>10.875</v>
      </c>
      <c r="D314" s="133">
        <v>0.625</v>
      </c>
      <c r="E314" s="134">
        <v>10.25</v>
      </c>
      <c r="F314" s="133">
        <v>1</v>
      </c>
      <c r="G314" s="134">
        <v>1.625</v>
      </c>
      <c r="H314" s="134">
        <v>0.8125</v>
      </c>
      <c r="I314" s="134">
        <v>5.5</v>
      </c>
      <c r="J314" s="133">
        <v>2.75</v>
      </c>
      <c r="K314" s="123">
        <f t="shared" si="23"/>
        <v>5.125</v>
      </c>
      <c r="L314" s="279">
        <f t="shared" si="22"/>
        <v>1.5621000023743921</v>
      </c>
      <c r="M314" s="279">
        <f t="shared" si="24"/>
        <v>130.95843589459488</v>
      </c>
      <c r="N314" s="1">
        <v>88</v>
      </c>
    </row>
    <row r="315" spans="2:14" x14ac:dyDescent="0.2">
      <c r="B315" s="18" t="s">
        <v>1058</v>
      </c>
      <c r="C315" s="20">
        <v>10.625</v>
      </c>
      <c r="D315" s="19">
        <v>0.5</v>
      </c>
      <c r="E315" s="20">
        <v>10.25</v>
      </c>
      <c r="F315" s="19">
        <v>0.875</v>
      </c>
      <c r="G315" s="20">
        <v>1.5</v>
      </c>
      <c r="H315" s="20">
        <v>0.8125</v>
      </c>
      <c r="I315" s="20">
        <v>5.5</v>
      </c>
      <c r="J315" s="19">
        <v>2.75</v>
      </c>
      <c r="K315" s="123">
        <f t="shared" si="23"/>
        <v>5.104166666666667</v>
      </c>
      <c r="L315" s="279">
        <f t="shared" si="22"/>
        <v>1.5557500023647404</v>
      </c>
      <c r="M315" s="279">
        <f t="shared" si="24"/>
        <v>114.58863140777054</v>
      </c>
      <c r="N315" s="1">
        <v>77</v>
      </c>
    </row>
    <row r="316" spans="2:14" x14ac:dyDescent="0.2">
      <c r="B316" s="131" t="s">
        <v>1059</v>
      </c>
      <c r="C316" s="134">
        <v>10.375</v>
      </c>
      <c r="D316" s="133">
        <v>0.5</v>
      </c>
      <c r="E316" s="134">
        <v>10.125</v>
      </c>
      <c r="F316" s="133">
        <v>0.75</v>
      </c>
      <c r="G316" s="134">
        <v>1.375</v>
      </c>
      <c r="H316" s="134">
        <v>0.75</v>
      </c>
      <c r="I316" s="134">
        <v>5.5</v>
      </c>
      <c r="J316" s="133">
        <v>2.75</v>
      </c>
      <c r="K316" s="123">
        <f t="shared" si="23"/>
        <v>5.020833333333333</v>
      </c>
      <c r="L316" s="279">
        <f t="shared" si="22"/>
        <v>1.5303500023261318</v>
      </c>
      <c r="M316" s="279">
        <f t="shared" si="24"/>
        <v>101.1951550094597</v>
      </c>
      <c r="N316" s="1">
        <v>68</v>
      </c>
    </row>
    <row r="317" spans="2:14" x14ac:dyDescent="0.2">
      <c r="B317" s="18" t="s">
        <v>1060</v>
      </c>
      <c r="C317" s="20">
        <v>10.25</v>
      </c>
      <c r="D317" s="19">
        <v>0.4375</v>
      </c>
      <c r="E317" s="20">
        <v>10.125</v>
      </c>
      <c r="F317" s="19">
        <v>0.6875</v>
      </c>
      <c r="G317" s="20">
        <v>1.3125</v>
      </c>
      <c r="H317" s="20">
        <v>0.75</v>
      </c>
      <c r="I317" s="20">
        <v>5.5</v>
      </c>
      <c r="J317" s="19">
        <v>2.5</v>
      </c>
      <c r="K317" s="123">
        <f t="shared" si="23"/>
        <v>5.010416666666667</v>
      </c>
      <c r="L317" s="279">
        <f t="shared" si="22"/>
        <v>1.5271750023213062</v>
      </c>
      <c r="M317" s="279">
        <f t="shared" si="24"/>
        <v>89.289842655405593</v>
      </c>
      <c r="N317" s="1">
        <v>60</v>
      </c>
    </row>
    <row r="318" spans="2:14" x14ac:dyDescent="0.2">
      <c r="B318" s="131" t="s">
        <v>1061</v>
      </c>
      <c r="C318" s="134">
        <v>10.125</v>
      </c>
      <c r="D318" s="133">
        <v>0.375</v>
      </c>
      <c r="E318" s="134">
        <v>10</v>
      </c>
      <c r="F318" s="133">
        <v>0.625</v>
      </c>
      <c r="G318" s="134">
        <v>1.25</v>
      </c>
      <c r="H318" s="134">
        <v>0.6875</v>
      </c>
      <c r="I318" s="134">
        <v>5.5</v>
      </c>
      <c r="J318" s="133">
        <v>2.5</v>
      </c>
      <c r="K318" s="123">
        <f t="shared" si="23"/>
        <v>4.958333333333333</v>
      </c>
      <c r="L318" s="279">
        <f t="shared" si="22"/>
        <v>1.5113000022971761</v>
      </c>
      <c r="M318" s="279">
        <f t="shared" si="24"/>
        <v>80.360858389865044</v>
      </c>
      <c r="N318" s="1">
        <v>54</v>
      </c>
    </row>
    <row r="319" spans="2:14" x14ac:dyDescent="0.2">
      <c r="B319" s="18" t="s">
        <v>1062</v>
      </c>
      <c r="C319" s="22">
        <v>10</v>
      </c>
      <c r="D319" s="21">
        <v>0.3125</v>
      </c>
      <c r="E319" s="22">
        <v>10</v>
      </c>
      <c r="F319" s="21">
        <v>0.5625</v>
      </c>
      <c r="G319" s="22">
        <v>1.1875</v>
      </c>
      <c r="H319" s="22">
        <v>0.6875</v>
      </c>
      <c r="I319" s="22">
        <v>5.5</v>
      </c>
      <c r="J319" s="21">
        <v>2.5</v>
      </c>
      <c r="K319" s="320">
        <f t="shared" si="23"/>
        <v>4.947916666666667</v>
      </c>
      <c r="L319" s="321">
        <f t="shared" si="22"/>
        <v>1.5081250022923502</v>
      </c>
      <c r="M319" s="279">
        <f t="shared" si="24"/>
        <v>72.920038168581243</v>
      </c>
      <c r="N319" s="1">
        <v>49</v>
      </c>
    </row>
    <row r="320" spans="2:14" x14ac:dyDescent="0.2">
      <c r="B320" s="314"/>
      <c r="C320" s="322"/>
      <c r="D320" s="322"/>
      <c r="E320" s="322"/>
      <c r="F320" s="322"/>
      <c r="G320" s="322"/>
      <c r="H320" s="322"/>
      <c r="I320" s="322"/>
      <c r="J320" s="322"/>
      <c r="K320" s="323"/>
      <c r="L320" s="324"/>
      <c r="M320" s="319"/>
      <c r="N320" s="1"/>
    </row>
    <row r="321" spans="2:14" x14ac:dyDescent="0.2">
      <c r="B321" s="131" t="s">
        <v>1063</v>
      </c>
      <c r="C321" s="134">
        <v>10.125</v>
      </c>
      <c r="D321" s="133">
        <v>0.375</v>
      </c>
      <c r="E321" s="134">
        <v>8</v>
      </c>
      <c r="F321" s="133">
        <v>0.625</v>
      </c>
      <c r="G321" s="134">
        <v>1.25</v>
      </c>
      <c r="H321" s="134">
        <v>0.6875</v>
      </c>
      <c r="I321" s="134">
        <v>5.5</v>
      </c>
      <c r="J321" s="133">
        <v>2.5</v>
      </c>
      <c r="K321" s="123">
        <f t="shared" si="23"/>
        <v>4.291666666666667</v>
      </c>
      <c r="L321" s="281">
        <f t="shared" si="22"/>
        <v>1.3081000019883122</v>
      </c>
      <c r="M321" s="279">
        <f t="shared" si="24"/>
        <v>66.967381991554205</v>
      </c>
      <c r="N321" s="1">
        <v>45</v>
      </c>
    </row>
    <row r="322" spans="2:14" x14ac:dyDescent="0.2">
      <c r="B322" s="18" t="s">
        <v>1064</v>
      </c>
      <c r="C322" s="20">
        <v>9.875</v>
      </c>
      <c r="D322" s="19">
        <v>0.3125</v>
      </c>
      <c r="E322" s="20">
        <v>8</v>
      </c>
      <c r="F322" s="19">
        <v>0.5</v>
      </c>
      <c r="G322" s="20">
        <v>1.125</v>
      </c>
      <c r="H322" s="20">
        <v>0.6875</v>
      </c>
      <c r="I322" s="20">
        <v>5.5</v>
      </c>
      <c r="J322" s="19">
        <v>2.5</v>
      </c>
      <c r="K322" s="123">
        <f t="shared" si="23"/>
        <v>4.260416666666667</v>
      </c>
      <c r="L322" s="279">
        <f t="shared" si="22"/>
        <v>1.2985750019738342</v>
      </c>
      <c r="M322" s="279">
        <f t="shared" si="24"/>
        <v>58.038397726013642</v>
      </c>
      <c r="N322" s="1">
        <v>39</v>
      </c>
    </row>
    <row r="323" spans="2:14" x14ac:dyDescent="0.2">
      <c r="B323" s="18" t="s">
        <v>1065</v>
      </c>
      <c r="C323" s="22">
        <v>9.75</v>
      </c>
      <c r="D323" s="21">
        <v>0.3125</v>
      </c>
      <c r="E323" s="22">
        <v>8</v>
      </c>
      <c r="F323" s="21">
        <v>0.4375</v>
      </c>
      <c r="G323" s="22">
        <v>1.0625</v>
      </c>
      <c r="H323" s="22">
        <v>0.6875</v>
      </c>
      <c r="I323" s="22">
        <v>5.5</v>
      </c>
      <c r="J323" s="21">
        <v>2.25</v>
      </c>
      <c r="K323" s="320">
        <f t="shared" si="23"/>
        <v>4.239583333333333</v>
      </c>
      <c r="L323" s="321">
        <f t="shared" si="22"/>
        <v>1.2922250019641821</v>
      </c>
      <c r="M323" s="279">
        <f t="shared" si="24"/>
        <v>49.109413460473085</v>
      </c>
      <c r="N323" s="1">
        <v>33</v>
      </c>
    </row>
    <row r="324" spans="2:14" x14ac:dyDescent="0.2">
      <c r="B324" s="318"/>
      <c r="C324" s="322"/>
      <c r="D324" s="322"/>
      <c r="E324" s="322"/>
      <c r="F324" s="322"/>
      <c r="G324" s="322"/>
      <c r="H324" s="322"/>
      <c r="I324" s="322"/>
      <c r="J324" s="322"/>
      <c r="K324" s="323"/>
      <c r="L324" s="324"/>
      <c r="M324" s="319"/>
      <c r="N324" s="1"/>
    </row>
    <row r="325" spans="2:14" x14ac:dyDescent="0.2">
      <c r="B325" s="18" t="s">
        <v>1066</v>
      </c>
      <c r="C325" s="160">
        <v>10.5</v>
      </c>
      <c r="D325" s="135">
        <v>0.3125</v>
      </c>
      <c r="E325" s="160">
        <v>5.75</v>
      </c>
      <c r="F325" s="135">
        <v>0.5</v>
      </c>
      <c r="G325" s="160">
        <v>0.9375</v>
      </c>
      <c r="H325" s="160">
        <v>0.5</v>
      </c>
      <c r="I325" s="160">
        <v>2.75</v>
      </c>
      <c r="J325" s="135">
        <v>2.5</v>
      </c>
      <c r="K325" s="123">
        <f t="shared" si="23"/>
        <v>3.6145833333333335</v>
      </c>
      <c r="L325" s="281">
        <f t="shared" si="22"/>
        <v>1.1017250016746221</v>
      </c>
      <c r="M325" s="279">
        <f t="shared" si="24"/>
        <v>44.644921327702797</v>
      </c>
      <c r="N325" s="1">
        <v>30</v>
      </c>
    </row>
    <row r="326" spans="2:14" x14ac:dyDescent="0.2">
      <c r="B326" s="131" t="s">
        <v>1067</v>
      </c>
      <c r="C326" s="134">
        <v>10.375</v>
      </c>
      <c r="D326" s="133">
        <v>0.25</v>
      </c>
      <c r="E326" s="134">
        <v>5.75</v>
      </c>
      <c r="F326" s="133">
        <v>0.4375</v>
      </c>
      <c r="G326" s="134">
        <v>0.875</v>
      </c>
      <c r="H326" s="134">
        <v>0.5</v>
      </c>
      <c r="I326" s="134">
        <v>2.75</v>
      </c>
      <c r="J326" s="133">
        <v>2.25</v>
      </c>
      <c r="K326" s="123">
        <f t="shared" si="23"/>
        <v>3.6041666666666665</v>
      </c>
      <c r="L326" s="279">
        <f t="shared" si="22"/>
        <v>1.098550001669796</v>
      </c>
      <c r="M326" s="279">
        <f t="shared" si="24"/>
        <v>38.692265150675766</v>
      </c>
      <c r="N326" s="1">
        <v>26</v>
      </c>
    </row>
    <row r="327" spans="2:14" x14ac:dyDescent="0.2">
      <c r="B327" s="18" t="s">
        <v>1068</v>
      </c>
      <c r="C327" s="22">
        <v>10.125</v>
      </c>
      <c r="D327" s="21">
        <v>0.25</v>
      </c>
      <c r="E327" s="22">
        <v>5.75</v>
      </c>
      <c r="F327" s="21">
        <v>0.375</v>
      </c>
      <c r="G327" s="22">
        <v>0.75</v>
      </c>
      <c r="H327" s="22">
        <v>0.5</v>
      </c>
      <c r="I327" s="22">
        <v>2.75</v>
      </c>
      <c r="J327" s="21">
        <v>2.25</v>
      </c>
      <c r="K327" s="320">
        <f t="shared" si="23"/>
        <v>3.5625</v>
      </c>
      <c r="L327" s="321">
        <f t="shared" si="22"/>
        <v>1.0858500016504919</v>
      </c>
      <c r="M327" s="279">
        <f t="shared" si="24"/>
        <v>32.739608973648721</v>
      </c>
      <c r="N327" s="1">
        <v>22</v>
      </c>
    </row>
    <row r="328" spans="2:14" x14ac:dyDescent="0.2">
      <c r="B328" s="314"/>
      <c r="C328" s="322"/>
      <c r="D328" s="322"/>
      <c r="E328" s="322"/>
      <c r="F328" s="322"/>
      <c r="G328" s="322"/>
      <c r="H328" s="322"/>
      <c r="I328" s="322"/>
      <c r="J328" s="322"/>
      <c r="K328" s="323"/>
      <c r="L328" s="324"/>
      <c r="M328" s="319"/>
      <c r="N328" s="1"/>
    </row>
    <row r="329" spans="2:14" x14ac:dyDescent="0.2">
      <c r="B329" s="131" t="s">
        <v>1069</v>
      </c>
      <c r="C329" s="134">
        <v>10.25</v>
      </c>
      <c r="D329" s="133">
        <v>0.25</v>
      </c>
      <c r="E329" s="134">
        <v>4</v>
      </c>
      <c r="F329" s="133">
        <v>0.375</v>
      </c>
      <c r="G329" s="134">
        <v>0.8125</v>
      </c>
      <c r="H329" s="134">
        <v>0.5</v>
      </c>
      <c r="I329" s="134">
        <v>2.25</v>
      </c>
      <c r="J329" s="133">
        <v>2.25</v>
      </c>
      <c r="K329" s="123">
        <f t="shared" si="23"/>
        <v>3</v>
      </c>
      <c r="L329" s="281">
        <f t="shared" si="22"/>
        <v>0.91440000138988808</v>
      </c>
      <c r="M329" s="279">
        <f t="shared" si="24"/>
        <v>28.275116840878439</v>
      </c>
      <c r="N329" s="1">
        <v>19</v>
      </c>
    </row>
    <row r="330" spans="2:14" x14ac:dyDescent="0.2">
      <c r="B330" s="18" t="s">
        <v>1070</v>
      </c>
      <c r="C330" s="20">
        <v>10.125</v>
      </c>
      <c r="D330" s="19">
        <v>0.25</v>
      </c>
      <c r="E330" s="20">
        <v>4</v>
      </c>
      <c r="F330" s="19">
        <v>0.3125</v>
      </c>
      <c r="G330" s="20">
        <v>0.75</v>
      </c>
      <c r="H330" s="20">
        <v>0.5</v>
      </c>
      <c r="I330" s="20">
        <v>2.25</v>
      </c>
      <c r="J330" s="19">
        <v>2.25</v>
      </c>
      <c r="K330" s="123">
        <f t="shared" si="23"/>
        <v>2.9791666666666665</v>
      </c>
      <c r="L330" s="279">
        <f t="shared" si="22"/>
        <v>0.90805000138023606</v>
      </c>
      <c r="M330" s="279">
        <f t="shared" si="24"/>
        <v>25.298788752364924</v>
      </c>
      <c r="N330" s="1">
        <v>17</v>
      </c>
    </row>
    <row r="331" spans="2:14" x14ac:dyDescent="0.2">
      <c r="B331" s="131" t="s">
        <v>1071</v>
      </c>
      <c r="C331" s="134">
        <v>10</v>
      </c>
      <c r="D331" s="133">
        <v>0.25</v>
      </c>
      <c r="E331" s="134">
        <v>4</v>
      </c>
      <c r="F331" s="133">
        <v>0.25</v>
      </c>
      <c r="G331" s="134">
        <v>0.6875</v>
      </c>
      <c r="H331" s="134">
        <v>0.4375</v>
      </c>
      <c r="I331" s="134">
        <v>2.25</v>
      </c>
      <c r="J331" s="133">
        <v>2.25</v>
      </c>
      <c r="K331" s="123">
        <f t="shared" si="23"/>
        <v>2.9583333333333335</v>
      </c>
      <c r="L331" s="279">
        <f t="shared" si="22"/>
        <v>0.90170000137058404</v>
      </c>
      <c r="M331" s="279">
        <f t="shared" si="24"/>
        <v>22.322460663851398</v>
      </c>
      <c r="N331" s="1">
        <v>15</v>
      </c>
    </row>
    <row r="332" spans="2:14" x14ac:dyDescent="0.2">
      <c r="B332" s="18" t="s">
        <v>1072</v>
      </c>
      <c r="C332" s="22">
        <v>9.875</v>
      </c>
      <c r="D332" s="21">
        <v>0.1875</v>
      </c>
      <c r="E332" s="22">
        <v>4</v>
      </c>
      <c r="F332" s="21">
        <v>0.1875</v>
      </c>
      <c r="G332" s="22">
        <v>0.625</v>
      </c>
      <c r="H332" s="22">
        <v>0.4375</v>
      </c>
      <c r="I332" s="22">
        <v>2.25</v>
      </c>
      <c r="J332" s="21">
        <v>2</v>
      </c>
      <c r="K332" s="320">
        <f t="shared" si="23"/>
        <v>2.9479166666666665</v>
      </c>
      <c r="L332" s="321">
        <f t="shared" si="22"/>
        <v>0.89852500136575808</v>
      </c>
      <c r="M332" s="279">
        <f t="shared" si="24"/>
        <v>17.85796853108112</v>
      </c>
      <c r="N332" s="1">
        <v>12</v>
      </c>
    </row>
    <row r="333" spans="2:14" x14ac:dyDescent="0.2">
      <c r="B333" s="318" t="s">
        <v>899</v>
      </c>
      <c r="C333" s="322" t="s">
        <v>899</v>
      </c>
      <c r="D333" s="322" t="s">
        <v>899</v>
      </c>
      <c r="E333" s="322" t="s">
        <v>899</v>
      </c>
      <c r="F333" s="322" t="s">
        <v>899</v>
      </c>
      <c r="G333" s="322"/>
      <c r="H333" s="322"/>
      <c r="I333" s="322" t="s">
        <v>899</v>
      </c>
      <c r="J333" s="322" t="s">
        <v>899</v>
      </c>
      <c r="K333" s="323"/>
      <c r="L333" s="324"/>
      <c r="M333" s="319"/>
      <c r="N333" s="1"/>
    </row>
    <row r="334" spans="2:14" x14ac:dyDescent="0.2">
      <c r="B334" s="18" t="s">
        <v>1073</v>
      </c>
      <c r="C334" s="160">
        <v>9</v>
      </c>
      <c r="D334" s="135">
        <v>0.5625</v>
      </c>
      <c r="E334" s="160">
        <v>8.25</v>
      </c>
      <c r="F334" s="135">
        <v>0.9375</v>
      </c>
      <c r="G334" s="160">
        <v>1.4375</v>
      </c>
      <c r="H334" s="160">
        <v>0.6875</v>
      </c>
      <c r="I334" s="160" t="s">
        <v>1008</v>
      </c>
      <c r="J334" s="135" t="s">
        <v>1008</v>
      </c>
      <c r="K334" s="123">
        <f t="shared" ref="K334:K349" si="25">((C334-(F334*2))*2+(E334*4)+(F334*4)-(D334*2))*12/144</f>
        <v>4.15625</v>
      </c>
      <c r="L334" s="281">
        <f t="shared" si="22"/>
        <v>1.2668250019255742</v>
      </c>
      <c r="M334" s="279">
        <f t="shared" si="24"/>
        <v>99.70699096520292</v>
      </c>
      <c r="N334" s="1">
        <v>67</v>
      </c>
    </row>
    <row r="335" spans="2:14" x14ac:dyDescent="0.2">
      <c r="B335" s="131" t="s">
        <v>1074</v>
      </c>
      <c r="C335" s="134">
        <v>8.75</v>
      </c>
      <c r="D335" s="133">
        <v>0.5</v>
      </c>
      <c r="E335" s="134">
        <v>8.25</v>
      </c>
      <c r="F335" s="133">
        <v>0.8125</v>
      </c>
      <c r="G335" s="134">
        <v>1.3125</v>
      </c>
      <c r="H335" s="134">
        <v>0.6875</v>
      </c>
      <c r="I335" s="134">
        <v>5.5</v>
      </c>
      <c r="J335" s="133">
        <v>2.75</v>
      </c>
      <c r="K335" s="123">
        <f t="shared" si="25"/>
        <v>4.125</v>
      </c>
      <c r="L335" s="279">
        <f t="shared" si="22"/>
        <v>1.2573000019110963</v>
      </c>
      <c r="M335" s="279">
        <f t="shared" si="24"/>
        <v>86.313514566892081</v>
      </c>
      <c r="N335" s="1">
        <v>58</v>
      </c>
    </row>
    <row r="336" spans="2:14" x14ac:dyDescent="0.2">
      <c r="B336" s="18" t="s">
        <v>1075</v>
      </c>
      <c r="C336" s="20">
        <v>8.5</v>
      </c>
      <c r="D336" s="19">
        <v>0.375</v>
      </c>
      <c r="E336" s="20">
        <v>8.125</v>
      </c>
      <c r="F336" s="19">
        <v>0.6875</v>
      </c>
      <c r="G336" s="20">
        <v>1.1875</v>
      </c>
      <c r="H336" s="20">
        <v>0.625</v>
      </c>
      <c r="I336" s="20">
        <v>5.5</v>
      </c>
      <c r="J336" s="19">
        <v>2.5</v>
      </c>
      <c r="K336" s="123">
        <f t="shared" si="25"/>
        <v>4.0625</v>
      </c>
      <c r="L336" s="279">
        <f t="shared" si="22"/>
        <v>1.2382500018821401</v>
      </c>
      <c r="M336" s="279">
        <f t="shared" si="24"/>
        <v>71.43187412432448</v>
      </c>
      <c r="N336" s="1">
        <v>48</v>
      </c>
    </row>
    <row r="337" spans="2:14" x14ac:dyDescent="0.2">
      <c r="B337" s="131" t="s">
        <v>1076</v>
      </c>
      <c r="C337" s="134">
        <v>8.25</v>
      </c>
      <c r="D337" s="133">
        <v>0.375</v>
      </c>
      <c r="E337" s="134">
        <v>8.125</v>
      </c>
      <c r="F337" s="133">
        <v>0.5625</v>
      </c>
      <c r="G337" s="134">
        <v>1.0625</v>
      </c>
      <c r="H337" s="134">
        <v>0.625</v>
      </c>
      <c r="I337" s="134">
        <v>5.5</v>
      </c>
      <c r="J337" s="133">
        <v>2.5</v>
      </c>
      <c r="K337" s="123">
        <f t="shared" si="25"/>
        <v>4.020833333333333</v>
      </c>
      <c r="L337" s="279">
        <f t="shared" si="22"/>
        <v>1.225550001862836</v>
      </c>
      <c r="M337" s="279">
        <f t="shared" si="24"/>
        <v>59.526561770270405</v>
      </c>
      <c r="N337" s="1">
        <v>40</v>
      </c>
    </row>
    <row r="338" spans="2:14" x14ac:dyDescent="0.2">
      <c r="B338" s="18" t="s">
        <v>1077</v>
      </c>
      <c r="C338" s="20">
        <v>8.125</v>
      </c>
      <c r="D338" s="19">
        <v>0.3125</v>
      </c>
      <c r="E338" s="20">
        <v>8</v>
      </c>
      <c r="F338" s="19">
        <v>0.5</v>
      </c>
      <c r="G338" s="20">
        <v>1</v>
      </c>
      <c r="H338" s="20">
        <v>0.5625</v>
      </c>
      <c r="I338" s="20">
        <v>5.5</v>
      </c>
      <c r="J338" s="19">
        <v>2.25</v>
      </c>
      <c r="K338" s="123">
        <f t="shared" si="25"/>
        <v>3.96875</v>
      </c>
      <c r="L338" s="279">
        <f t="shared" si="22"/>
        <v>1.2096750018387061</v>
      </c>
      <c r="M338" s="279">
        <f t="shared" si="24"/>
        <v>52.085741548986604</v>
      </c>
      <c r="N338" s="1">
        <v>35</v>
      </c>
    </row>
    <row r="339" spans="2:14" x14ac:dyDescent="0.2">
      <c r="B339" s="18" t="s">
        <v>1078</v>
      </c>
      <c r="C339" s="22">
        <v>8</v>
      </c>
      <c r="D339" s="21">
        <v>0.3125</v>
      </c>
      <c r="E339" s="22">
        <v>8</v>
      </c>
      <c r="F339" s="21">
        <v>0.4375</v>
      </c>
      <c r="G339" s="22">
        <v>0.9375</v>
      </c>
      <c r="H339" s="22">
        <v>0.5625</v>
      </c>
      <c r="I339" s="22">
        <v>5.5</v>
      </c>
      <c r="J339" s="21">
        <v>2.25</v>
      </c>
      <c r="K339" s="320">
        <f t="shared" si="25"/>
        <v>3.9479166666666665</v>
      </c>
      <c r="L339" s="321">
        <f t="shared" si="22"/>
        <v>1.203325001829054</v>
      </c>
      <c r="M339" s="279">
        <f t="shared" si="24"/>
        <v>46.133085371959559</v>
      </c>
      <c r="N339" s="1">
        <v>31</v>
      </c>
    </row>
    <row r="340" spans="2:14" x14ac:dyDescent="0.2">
      <c r="B340" s="318"/>
      <c r="C340" s="322"/>
      <c r="D340" s="322"/>
      <c r="E340" s="322"/>
      <c r="F340" s="322"/>
      <c r="G340" s="322"/>
      <c r="H340" s="322"/>
      <c r="I340" s="322"/>
      <c r="J340" s="322"/>
      <c r="K340" s="323"/>
      <c r="L340" s="324"/>
      <c r="M340" s="319"/>
      <c r="N340" s="1"/>
    </row>
    <row r="341" spans="2:14" x14ac:dyDescent="0.2">
      <c r="B341" s="18" t="s">
        <v>1079</v>
      </c>
      <c r="C341" s="160">
        <v>8</v>
      </c>
      <c r="D341" s="135">
        <v>0.3125</v>
      </c>
      <c r="E341" s="160">
        <v>6.5</v>
      </c>
      <c r="F341" s="135">
        <v>0.4375</v>
      </c>
      <c r="G341" s="160">
        <v>0.9375</v>
      </c>
      <c r="H341" s="160">
        <v>0.5625</v>
      </c>
      <c r="I341" s="160">
        <v>3.5</v>
      </c>
      <c r="J341" s="135">
        <v>2.25</v>
      </c>
      <c r="K341" s="123">
        <f t="shared" si="25"/>
        <v>3.4479166666666665</v>
      </c>
      <c r="L341" s="281">
        <f t="shared" si="22"/>
        <v>1.0509250015974061</v>
      </c>
      <c r="M341" s="279">
        <f t="shared" si="24"/>
        <v>41.668593239189285</v>
      </c>
      <c r="N341" s="1">
        <v>28</v>
      </c>
    </row>
    <row r="342" spans="2:14" x14ac:dyDescent="0.2">
      <c r="B342" s="18" t="s">
        <v>1080</v>
      </c>
      <c r="C342" s="22">
        <v>7.875</v>
      </c>
      <c r="D342" s="21">
        <v>0.25</v>
      </c>
      <c r="E342" s="22">
        <v>6.5</v>
      </c>
      <c r="F342" s="21">
        <v>0.375</v>
      </c>
      <c r="G342" s="22">
        <v>0.875</v>
      </c>
      <c r="H342" s="22">
        <v>0.5625</v>
      </c>
      <c r="I342" s="22">
        <v>3.5</v>
      </c>
      <c r="J342" s="21">
        <v>2.25</v>
      </c>
      <c r="K342" s="320">
        <f t="shared" si="25"/>
        <v>3.4375</v>
      </c>
      <c r="L342" s="321">
        <f t="shared" si="22"/>
        <v>1.0477500015925802</v>
      </c>
      <c r="M342" s="279">
        <f t="shared" si="24"/>
        <v>35.71593706216224</v>
      </c>
      <c r="N342" s="1">
        <v>24</v>
      </c>
    </row>
    <row r="343" spans="2:14" x14ac:dyDescent="0.2">
      <c r="B343" s="318"/>
      <c r="C343" s="322"/>
      <c r="D343" s="322"/>
      <c r="E343" s="322"/>
      <c r="F343" s="322"/>
      <c r="G343" s="322"/>
      <c r="H343" s="322"/>
      <c r="I343" s="322"/>
      <c r="J343" s="322"/>
      <c r="K343" s="323"/>
      <c r="L343" s="324"/>
      <c r="M343" s="319"/>
      <c r="N343" s="1"/>
    </row>
    <row r="344" spans="2:14" x14ac:dyDescent="0.2">
      <c r="B344" s="18" t="s">
        <v>1081</v>
      </c>
      <c r="C344" s="160">
        <v>8.25</v>
      </c>
      <c r="D344" s="135">
        <v>0.25</v>
      </c>
      <c r="E344" s="160">
        <v>5.25</v>
      </c>
      <c r="F344" s="135">
        <v>0.375</v>
      </c>
      <c r="G344" s="160">
        <v>0.8125</v>
      </c>
      <c r="H344" s="160">
        <v>0.5</v>
      </c>
      <c r="I344" s="160">
        <v>2.75</v>
      </c>
      <c r="J344" s="135">
        <v>2.25</v>
      </c>
      <c r="K344" s="123">
        <f t="shared" si="25"/>
        <v>3.0833333333333335</v>
      </c>
      <c r="L344" s="281">
        <f t="shared" si="22"/>
        <v>0.93980000142849618</v>
      </c>
      <c r="M344" s="279">
        <f t="shared" si="24"/>
        <v>31.251444929391962</v>
      </c>
      <c r="N344" s="1">
        <v>21</v>
      </c>
    </row>
    <row r="345" spans="2:14" x14ac:dyDescent="0.2">
      <c r="B345" s="18" t="s">
        <v>1082</v>
      </c>
      <c r="C345" s="22">
        <v>8.125</v>
      </c>
      <c r="D345" s="21">
        <v>0.25</v>
      </c>
      <c r="E345" s="22">
        <v>5.25</v>
      </c>
      <c r="F345" s="21">
        <v>0.3125</v>
      </c>
      <c r="G345" s="22">
        <v>0.75</v>
      </c>
      <c r="H345" s="22">
        <v>0.4375</v>
      </c>
      <c r="I345" s="22">
        <v>2.75</v>
      </c>
      <c r="J345" s="21">
        <v>2.25</v>
      </c>
      <c r="K345" s="320">
        <f t="shared" si="25"/>
        <v>3.0625</v>
      </c>
      <c r="L345" s="321">
        <f t="shared" si="22"/>
        <v>0.93345000141884404</v>
      </c>
      <c r="M345" s="279">
        <f t="shared" si="24"/>
        <v>26.78695279662168</v>
      </c>
      <c r="N345" s="1">
        <v>18</v>
      </c>
    </row>
    <row r="346" spans="2:14" x14ac:dyDescent="0.2">
      <c r="B346" s="318"/>
      <c r="C346" s="322"/>
      <c r="D346" s="322"/>
      <c r="E346" s="322"/>
      <c r="F346" s="322"/>
      <c r="G346" s="322"/>
      <c r="H346" s="322"/>
      <c r="I346" s="322"/>
      <c r="J346" s="322"/>
      <c r="K346" s="323"/>
      <c r="L346" s="324"/>
      <c r="M346" s="319"/>
      <c r="N346" s="1"/>
    </row>
    <row r="347" spans="2:14" x14ac:dyDescent="0.2">
      <c r="B347" s="18" t="s">
        <v>1083</v>
      </c>
      <c r="C347" s="160">
        <v>8.125</v>
      </c>
      <c r="D347" s="135">
        <v>0.25</v>
      </c>
      <c r="E347" s="160">
        <v>4</v>
      </c>
      <c r="F347" s="135">
        <v>0.3125</v>
      </c>
      <c r="G347" s="160">
        <v>0.75</v>
      </c>
      <c r="H347" s="160">
        <v>0.5</v>
      </c>
      <c r="I347" s="160">
        <v>2.25</v>
      </c>
      <c r="J347" s="135">
        <v>2.25</v>
      </c>
      <c r="K347" s="123">
        <f t="shared" si="25"/>
        <v>2.6458333333333335</v>
      </c>
      <c r="L347" s="281">
        <f t="shared" ref="L347:L362" si="26">K347*3.2808399*0.09290304</f>
        <v>0.80645000122580401</v>
      </c>
      <c r="M347" s="279">
        <f t="shared" si="24"/>
        <v>22.322460663851398</v>
      </c>
      <c r="N347" s="1">
        <v>15</v>
      </c>
    </row>
    <row r="348" spans="2:14" x14ac:dyDescent="0.2">
      <c r="B348" s="131" t="s">
        <v>1084</v>
      </c>
      <c r="C348" s="134">
        <v>8</v>
      </c>
      <c r="D348" s="133">
        <v>0.25</v>
      </c>
      <c r="E348" s="134">
        <v>4</v>
      </c>
      <c r="F348" s="133">
        <v>0.25</v>
      </c>
      <c r="G348" s="134">
        <v>0.6875</v>
      </c>
      <c r="H348" s="134">
        <v>0.4375</v>
      </c>
      <c r="I348" s="134">
        <v>2.25</v>
      </c>
      <c r="J348" s="133">
        <v>2.25</v>
      </c>
      <c r="K348" s="123">
        <f t="shared" si="25"/>
        <v>2.625</v>
      </c>
      <c r="L348" s="279">
        <f t="shared" si="26"/>
        <v>0.8001000012161521</v>
      </c>
      <c r="M348" s="279">
        <f t="shared" si="24"/>
        <v>19.346132575337883</v>
      </c>
      <c r="N348" s="1">
        <v>13</v>
      </c>
    </row>
    <row r="349" spans="2:14" x14ac:dyDescent="0.2">
      <c r="B349" s="18" t="s">
        <v>1085</v>
      </c>
      <c r="C349" s="22">
        <v>7.875</v>
      </c>
      <c r="D349" s="21">
        <v>0.1875</v>
      </c>
      <c r="E349" s="22">
        <v>4</v>
      </c>
      <c r="F349" s="21">
        <v>0.1875</v>
      </c>
      <c r="G349" s="22">
        <v>0.625</v>
      </c>
      <c r="H349" s="22">
        <v>0.4375</v>
      </c>
      <c r="I349" s="22">
        <v>2.25</v>
      </c>
      <c r="J349" s="21">
        <v>2</v>
      </c>
      <c r="K349" s="320">
        <f t="shared" si="25"/>
        <v>2.6145833333333335</v>
      </c>
      <c r="L349" s="321">
        <f t="shared" si="26"/>
        <v>0.79692500121132603</v>
      </c>
      <c r="M349" s="279">
        <f t="shared" si="24"/>
        <v>14.881640442567601</v>
      </c>
      <c r="N349" s="1">
        <v>10</v>
      </c>
    </row>
    <row r="350" spans="2:14" x14ac:dyDescent="0.2">
      <c r="B350" s="318"/>
      <c r="C350" s="322" t="s">
        <v>899</v>
      </c>
      <c r="D350" s="322" t="s">
        <v>899</v>
      </c>
      <c r="E350" s="322" t="s">
        <v>899</v>
      </c>
      <c r="F350" s="322" t="s">
        <v>899</v>
      </c>
      <c r="G350" s="322"/>
      <c r="H350" s="322"/>
      <c r="I350" s="322" t="s">
        <v>899</v>
      </c>
      <c r="J350" s="322" t="s">
        <v>899</v>
      </c>
      <c r="K350" s="323"/>
      <c r="L350" s="324"/>
      <c r="M350" s="319"/>
      <c r="N350" s="1"/>
    </row>
    <row r="351" spans="2:14" x14ac:dyDescent="0.2">
      <c r="B351" s="18" t="s">
        <v>1086</v>
      </c>
      <c r="C351" s="160">
        <v>6.375</v>
      </c>
      <c r="D351" s="135">
        <v>0.3125</v>
      </c>
      <c r="E351" s="160">
        <v>6.125</v>
      </c>
      <c r="F351" s="135">
        <v>0.4375</v>
      </c>
      <c r="G351" s="160">
        <v>0.8125</v>
      </c>
      <c r="H351" s="160">
        <v>0.4375</v>
      </c>
      <c r="I351" s="160">
        <v>3.5</v>
      </c>
      <c r="J351" s="135">
        <v>2.25</v>
      </c>
      <c r="K351" s="123">
        <f t="shared" ref="K351:K357" si="27">((C351-(F351*2))*2+(E351*4)+(F351*4)-(D351*2))*12/144</f>
        <v>3.0520833333333335</v>
      </c>
      <c r="L351" s="281">
        <f t="shared" si="26"/>
        <v>0.9302750014140182</v>
      </c>
      <c r="M351" s="279">
        <f t="shared" si="24"/>
        <v>37.204101106419003</v>
      </c>
      <c r="N351" s="1">
        <v>25</v>
      </c>
    </row>
    <row r="352" spans="2:14" x14ac:dyDescent="0.2">
      <c r="B352" s="131" t="s">
        <v>1087</v>
      </c>
      <c r="C352" s="134">
        <v>6.25</v>
      </c>
      <c r="D352" s="133">
        <v>0.25</v>
      </c>
      <c r="E352" s="134">
        <v>6</v>
      </c>
      <c r="F352" s="133">
        <v>0.375</v>
      </c>
      <c r="G352" s="134">
        <v>0.75</v>
      </c>
      <c r="H352" s="134">
        <v>0.4375</v>
      </c>
      <c r="I352" s="134">
        <v>3.5</v>
      </c>
      <c r="J352" s="133">
        <v>2.25</v>
      </c>
      <c r="K352" s="123">
        <f t="shared" si="27"/>
        <v>3</v>
      </c>
      <c r="L352" s="279">
        <f t="shared" si="26"/>
        <v>0.91440000138988808</v>
      </c>
      <c r="M352" s="279">
        <f t="shared" si="24"/>
        <v>29.763280885135202</v>
      </c>
      <c r="N352" s="1">
        <v>20</v>
      </c>
    </row>
    <row r="353" spans="2:14" x14ac:dyDescent="0.2">
      <c r="B353" s="18" t="s">
        <v>1088</v>
      </c>
      <c r="C353" s="22">
        <v>6</v>
      </c>
      <c r="D353" s="21">
        <v>0.25</v>
      </c>
      <c r="E353" s="22">
        <v>6</v>
      </c>
      <c r="F353" s="21">
        <v>0.25</v>
      </c>
      <c r="G353" s="22">
        <v>0.625</v>
      </c>
      <c r="H353" s="22">
        <v>0.375</v>
      </c>
      <c r="I353" s="22">
        <v>3.5</v>
      </c>
      <c r="J353" s="21">
        <v>2.25</v>
      </c>
      <c r="K353" s="320">
        <f t="shared" si="27"/>
        <v>2.9583333333333335</v>
      </c>
      <c r="L353" s="321">
        <f t="shared" si="26"/>
        <v>0.90170000137058404</v>
      </c>
      <c r="M353" s="279">
        <f t="shared" si="24"/>
        <v>22.322460663851398</v>
      </c>
      <c r="N353" s="1">
        <v>15</v>
      </c>
    </row>
    <row r="354" spans="2:14" x14ac:dyDescent="0.2">
      <c r="B354" s="314"/>
      <c r="C354" s="322"/>
      <c r="D354" s="322"/>
      <c r="E354" s="322"/>
      <c r="F354" s="322"/>
      <c r="G354" s="322"/>
      <c r="H354" s="322"/>
      <c r="I354" s="322"/>
      <c r="J354" s="322"/>
      <c r="K354" s="323"/>
      <c r="L354" s="324"/>
      <c r="M354" s="319"/>
      <c r="N354" s="1"/>
    </row>
    <row r="355" spans="2:14" x14ac:dyDescent="0.2">
      <c r="B355" s="131" t="s">
        <v>1089</v>
      </c>
      <c r="C355" s="134">
        <v>6.25</v>
      </c>
      <c r="D355" s="133">
        <v>0.25</v>
      </c>
      <c r="E355" s="134">
        <v>4</v>
      </c>
      <c r="F355" s="133">
        <v>0.375</v>
      </c>
      <c r="G355" s="134">
        <v>0.75</v>
      </c>
      <c r="H355" s="134">
        <v>0.4375</v>
      </c>
      <c r="I355" s="134">
        <v>2.25</v>
      </c>
      <c r="J355" s="133">
        <v>2.25</v>
      </c>
      <c r="K355" s="123">
        <f t="shared" si="27"/>
        <v>2.3333333333333335</v>
      </c>
      <c r="L355" s="281">
        <f t="shared" si="26"/>
        <v>0.7112000010810241</v>
      </c>
      <c r="M355" s="279">
        <f t="shared" si="24"/>
        <v>23.810624708108161</v>
      </c>
      <c r="N355" s="1">
        <v>16</v>
      </c>
    </row>
    <row r="356" spans="2:14" x14ac:dyDescent="0.2">
      <c r="B356" s="18" t="s">
        <v>1090</v>
      </c>
      <c r="C356" s="20">
        <v>6</v>
      </c>
      <c r="D356" s="19">
        <v>0.25</v>
      </c>
      <c r="E356" s="20">
        <v>4</v>
      </c>
      <c r="F356" s="19">
        <v>0.25</v>
      </c>
      <c r="G356" s="20">
        <v>0.625</v>
      </c>
      <c r="H356" s="20">
        <v>0.375</v>
      </c>
      <c r="I356" s="20">
        <v>2.25</v>
      </c>
      <c r="J356" s="19">
        <v>2.25</v>
      </c>
      <c r="K356" s="123">
        <f t="shared" si="27"/>
        <v>2.2916666666666665</v>
      </c>
      <c r="L356" s="279">
        <f t="shared" si="26"/>
        <v>0.69850000106172005</v>
      </c>
      <c r="M356" s="279">
        <f t="shared" si="24"/>
        <v>17.85796853108112</v>
      </c>
      <c r="N356" s="1">
        <v>12</v>
      </c>
    </row>
    <row r="357" spans="2:14" x14ac:dyDescent="0.2">
      <c r="B357" s="131" t="s">
        <v>1091</v>
      </c>
      <c r="C357" s="134">
        <v>5.875</v>
      </c>
      <c r="D357" s="133">
        <v>0.1875</v>
      </c>
      <c r="E357" s="134">
        <v>4</v>
      </c>
      <c r="F357" s="133">
        <v>0.1875</v>
      </c>
      <c r="G357" s="134">
        <v>0.5625</v>
      </c>
      <c r="H357" s="134">
        <v>0.375</v>
      </c>
      <c r="I357" s="134">
        <v>2.25</v>
      </c>
      <c r="J357" s="133">
        <v>2</v>
      </c>
      <c r="K357" s="320">
        <f t="shared" si="27"/>
        <v>2.28125</v>
      </c>
      <c r="L357" s="321">
        <f t="shared" si="26"/>
        <v>0.6953250010568941</v>
      </c>
      <c r="M357" s="279">
        <f t="shared" si="24"/>
        <v>13.39347639831084</v>
      </c>
      <c r="N357" s="1">
        <v>9</v>
      </c>
    </row>
    <row r="358" spans="2:14" x14ac:dyDescent="0.2">
      <c r="B358" s="314" t="s">
        <v>899</v>
      </c>
      <c r="C358" s="322" t="s">
        <v>899</v>
      </c>
      <c r="D358" s="322" t="s">
        <v>899</v>
      </c>
      <c r="E358" s="322" t="s">
        <v>899</v>
      </c>
      <c r="F358" s="322" t="s">
        <v>899</v>
      </c>
      <c r="G358" s="322"/>
      <c r="H358" s="322"/>
      <c r="I358" s="322" t="s">
        <v>899</v>
      </c>
      <c r="J358" s="322" t="s">
        <v>899</v>
      </c>
      <c r="K358" s="323"/>
      <c r="L358" s="324"/>
      <c r="M358" s="319"/>
      <c r="N358" s="1"/>
    </row>
    <row r="359" spans="2:14" x14ac:dyDescent="0.2">
      <c r="B359" s="131" t="s">
        <v>1092</v>
      </c>
      <c r="C359" s="134">
        <v>5.125</v>
      </c>
      <c r="D359" s="133">
        <v>0.25</v>
      </c>
      <c r="E359" s="134">
        <v>5</v>
      </c>
      <c r="F359" s="133">
        <v>0.4375</v>
      </c>
      <c r="G359" s="134">
        <v>0.8125</v>
      </c>
      <c r="H359" s="134">
        <v>0.4375</v>
      </c>
      <c r="I359" s="134">
        <v>2.75</v>
      </c>
      <c r="J359" s="133">
        <v>2.25</v>
      </c>
      <c r="K359" s="123">
        <f>((C359-(F359*2))*2+(E359*4)+(F359*4)-(D359*2))*12/144</f>
        <v>2.4791666666666665</v>
      </c>
      <c r="L359" s="281">
        <f t="shared" si="26"/>
        <v>0.75565000114858805</v>
      </c>
      <c r="M359" s="279">
        <f t="shared" si="24"/>
        <v>28.275116840878439</v>
      </c>
      <c r="N359" s="1">
        <v>19</v>
      </c>
    </row>
    <row r="360" spans="2:14" x14ac:dyDescent="0.2">
      <c r="B360" s="18" t="s">
        <v>1093</v>
      </c>
      <c r="C360" s="22">
        <v>5</v>
      </c>
      <c r="D360" s="21">
        <v>0.25</v>
      </c>
      <c r="E360" s="22">
        <v>5</v>
      </c>
      <c r="F360" s="21">
        <v>0.375</v>
      </c>
      <c r="G360" s="22">
        <v>0.75</v>
      </c>
      <c r="H360" s="22">
        <v>0.4375</v>
      </c>
      <c r="I360" s="22">
        <v>2.75</v>
      </c>
      <c r="J360" s="21">
        <v>2.25</v>
      </c>
      <c r="K360" s="320">
        <f>((C360-(F360*2))*2+(E360*4)+(F360*4)-(D360*2))*12/144</f>
        <v>2.4583333333333335</v>
      </c>
      <c r="L360" s="321">
        <f t="shared" si="26"/>
        <v>0.74930000113893602</v>
      </c>
      <c r="M360" s="279">
        <f t="shared" si="24"/>
        <v>23.810624708108161</v>
      </c>
      <c r="N360" s="1">
        <v>16</v>
      </c>
    </row>
    <row r="361" spans="2:14" x14ac:dyDescent="0.2">
      <c r="B361" s="318" t="s">
        <v>899</v>
      </c>
      <c r="C361" s="322" t="s">
        <v>899</v>
      </c>
      <c r="D361" s="322" t="s">
        <v>899</v>
      </c>
      <c r="E361" s="322" t="s">
        <v>899</v>
      </c>
      <c r="F361" s="322" t="s">
        <v>899</v>
      </c>
      <c r="G361" s="322"/>
      <c r="H361" s="322"/>
      <c r="I361" s="322" t="s">
        <v>899</v>
      </c>
      <c r="J361" s="322" t="s">
        <v>899</v>
      </c>
      <c r="K361" s="323"/>
      <c r="L361" s="324"/>
      <c r="M361" s="319"/>
      <c r="N361" s="1"/>
    </row>
    <row r="362" spans="2:14" x14ac:dyDescent="0.2">
      <c r="B362" s="18" t="s">
        <v>1094</v>
      </c>
      <c r="C362" s="160">
        <v>4.125</v>
      </c>
      <c r="D362" s="135">
        <v>0.25</v>
      </c>
      <c r="E362" s="160">
        <v>4</v>
      </c>
      <c r="F362" s="135">
        <v>0.375</v>
      </c>
      <c r="G362" s="160">
        <v>0.6875</v>
      </c>
      <c r="H362" s="160">
        <v>0.4375</v>
      </c>
      <c r="I362" s="160">
        <v>2.25</v>
      </c>
      <c r="J362" s="135">
        <v>2</v>
      </c>
      <c r="K362" s="123">
        <f>((C362-(F362*2))*2+(E362*4)+(F362*4)-(D362*2))*12/144</f>
        <v>1.9791666666666667</v>
      </c>
      <c r="L362" s="281">
        <f t="shared" si="26"/>
        <v>0.60325000091694003</v>
      </c>
      <c r="M362" s="279">
        <f t="shared" si="24"/>
        <v>19.346132575337883</v>
      </c>
      <c r="N362" s="1">
        <v>13</v>
      </c>
    </row>
    <row r="363" spans="2:14" x14ac:dyDescent="0.2">
      <c r="B363" s="131" t="s">
        <v>899</v>
      </c>
      <c r="C363" s="134" t="s">
        <v>899</v>
      </c>
      <c r="D363" s="133" t="s">
        <v>899</v>
      </c>
      <c r="E363" s="134" t="s">
        <v>899</v>
      </c>
      <c r="F363" s="133" t="s">
        <v>899</v>
      </c>
      <c r="G363" s="134"/>
      <c r="H363" s="134"/>
      <c r="I363" s="134" t="s">
        <v>899</v>
      </c>
      <c r="J363" s="133" t="s">
        <v>899</v>
      </c>
      <c r="K363" s="137"/>
      <c r="L363" s="279"/>
      <c r="M363" s="279"/>
      <c r="N363" s="1"/>
    </row>
    <row r="364" spans="2:14" x14ac:dyDescent="0.2">
      <c r="B364" s="18" t="s">
        <v>899</v>
      </c>
      <c r="C364" s="20" t="s">
        <v>899</v>
      </c>
      <c r="D364" s="19" t="s">
        <v>899</v>
      </c>
      <c r="E364" s="20" t="s">
        <v>899</v>
      </c>
      <c r="F364" s="19" t="s">
        <v>899</v>
      </c>
      <c r="G364" s="20"/>
      <c r="H364" s="20"/>
      <c r="I364" s="20" t="s">
        <v>899</v>
      </c>
      <c r="J364" s="19" t="s">
        <v>899</v>
      </c>
      <c r="K364" s="19" t="s">
        <v>899</v>
      </c>
      <c r="L364" s="279"/>
      <c r="M364" s="279"/>
    </row>
    <row r="365" spans="2:14" x14ac:dyDescent="0.2">
      <c r="B365" s="137"/>
      <c r="C365" s="137"/>
      <c r="D365" s="137"/>
      <c r="E365" s="137"/>
      <c r="F365" s="137"/>
      <c r="G365" s="137"/>
      <c r="H365" s="137"/>
      <c r="I365" s="137"/>
      <c r="J365" s="137"/>
      <c r="K365" s="137"/>
    </row>
    <row r="366" spans="2:14" x14ac:dyDescent="0.2">
      <c r="B366" s="137"/>
      <c r="C366" s="137"/>
      <c r="D366" s="137"/>
      <c r="E366" s="137"/>
      <c r="F366" s="137"/>
      <c r="G366" s="137"/>
      <c r="H366" s="137"/>
      <c r="I366" s="137"/>
      <c r="J366" s="137"/>
      <c r="K366" s="137"/>
    </row>
    <row r="367" spans="2:14" x14ac:dyDescent="0.2">
      <c r="B367" s="137"/>
      <c r="C367" s="137"/>
      <c r="D367" s="137"/>
      <c r="E367" s="137"/>
      <c r="F367" s="137"/>
      <c r="G367" s="137"/>
      <c r="H367" s="137"/>
      <c r="I367" s="137"/>
      <c r="J367" s="137"/>
      <c r="K367" s="137"/>
    </row>
    <row r="368" spans="2:14" x14ac:dyDescent="0.2">
      <c r="B368" s="137"/>
      <c r="C368" s="137"/>
      <c r="D368" s="137"/>
      <c r="E368" s="137"/>
      <c r="F368" s="137"/>
      <c r="G368" s="137"/>
      <c r="H368" s="137"/>
      <c r="I368" s="137"/>
      <c r="J368" s="137"/>
      <c r="K368" s="137"/>
    </row>
    <row r="369" spans="2:11" x14ac:dyDescent="0.2">
      <c r="B369" s="137"/>
      <c r="C369" s="137"/>
      <c r="D369" s="137"/>
      <c r="E369" s="137"/>
      <c r="F369" s="137"/>
      <c r="G369" s="137"/>
      <c r="H369" s="137"/>
      <c r="I369" s="137"/>
      <c r="J369" s="137"/>
      <c r="K369" s="137"/>
    </row>
    <row r="370" spans="2:11" x14ac:dyDescent="0.2">
      <c r="B370" s="137"/>
      <c r="C370" s="137"/>
      <c r="D370" s="137"/>
      <c r="E370" s="137"/>
      <c r="F370" s="137"/>
      <c r="G370" s="137"/>
      <c r="H370" s="137"/>
      <c r="I370" s="137"/>
      <c r="J370" s="137"/>
      <c r="K370" s="137"/>
    </row>
    <row r="371" spans="2:11" x14ac:dyDescent="0.2">
      <c r="B371" s="137"/>
      <c r="C371" s="137"/>
      <c r="D371" s="137"/>
      <c r="E371" s="137"/>
      <c r="F371" s="137"/>
      <c r="G371" s="137"/>
      <c r="H371" s="137"/>
      <c r="I371" s="137"/>
      <c r="J371" s="137"/>
      <c r="K371" s="137"/>
    </row>
  </sheetData>
  <sheetProtection password="CDD2" sheet="1" objects="1" scenarios="1"/>
  <pageMargins left="0.75" right="0.75" top="1" bottom="1" header="0.5" footer="0.5"/>
  <pageSetup orientation="portrait" verticalDpi="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1:N41"/>
  <sheetViews>
    <sheetView showGridLines="0" zoomScale="95" workbookViewId="0">
      <pane ySplit="18" topLeftCell="A19" activePane="bottomLeft" state="frozen"/>
      <selection pane="bottomLeft"/>
    </sheetView>
  </sheetViews>
  <sheetFormatPr defaultRowHeight="12.75" x14ac:dyDescent="0.2"/>
  <cols>
    <col min="1" max="1" width="2.28515625" customWidth="1"/>
    <col min="9" max="9" width="9.42578125" customWidth="1"/>
    <col min="10" max="10" width="9.5703125" customWidth="1"/>
    <col min="11" max="11" width="12.85546875" customWidth="1"/>
    <col min="12" max="12" width="13.42578125" customWidth="1"/>
    <col min="13" max="13" width="9.7109375" customWidth="1"/>
    <col min="14" max="14" width="5.140625" hidden="1" customWidth="1"/>
  </cols>
  <sheetData>
    <row r="1" spans="2:12" x14ac:dyDescent="0.2">
      <c r="B1" s="116">
        <f ca="1">NOW()</f>
        <v>42899.605034722219</v>
      </c>
    </row>
    <row r="2" spans="2:12" ht="15.75" x14ac:dyDescent="0.25">
      <c r="B2" s="117"/>
      <c r="I2" s="35" t="s">
        <v>1722</v>
      </c>
    </row>
    <row r="3" spans="2:12" ht="23.25" x14ac:dyDescent="0.35">
      <c r="D3" s="193" t="s">
        <v>1097</v>
      </c>
      <c r="I3" s="35" t="s">
        <v>1723</v>
      </c>
    </row>
    <row r="4" spans="2:12" x14ac:dyDescent="0.2">
      <c r="I4" s="192"/>
    </row>
    <row r="5" spans="2:12" ht="15.75" x14ac:dyDescent="0.25">
      <c r="I5" s="35" t="s">
        <v>1724</v>
      </c>
    </row>
    <row r="6" spans="2:12" ht="15.75" x14ac:dyDescent="0.25">
      <c r="F6" s="35" t="s">
        <v>1720</v>
      </c>
      <c r="G6" s="192"/>
      <c r="L6" s="35" t="s">
        <v>1725</v>
      </c>
    </row>
    <row r="9" spans="2:12" ht="15.75" x14ac:dyDescent="0.25">
      <c r="L9" s="35" t="s">
        <v>1726</v>
      </c>
    </row>
    <row r="11" spans="2:12" ht="15.75" x14ac:dyDescent="0.25">
      <c r="G11" s="35" t="s">
        <v>895</v>
      </c>
    </row>
    <row r="12" spans="2:12" ht="15.75" x14ac:dyDescent="0.25">
      <c r="G12" s="35" t="s">
        <v>1721</v>
      </c>
    </row>
    <row r="13" spans="2:12" ht="15.75" x14ac:dyDescent="0.25">
      <c r="J13" s="35" t="s">
        <v>1719</v>
      </c>
    </row>
    <row r="16" spans="2:12" ht="13.5" thickBot="1" x14ac:dyDescent="0.25"/>
    <row r="17" spans="2:14" ht="15.75" x14ac:dyDescent="0.25">
      <c r="B17" s="370" t="s">
        <v>893</v>
      </c>
      <c r="C17" s="371" t="s">
        <v>895</v>
      </c>
      <c r="D17" s="371" t="s">
        <v>905</v>
      </c>
      <c r="E17" s="371" t="s">
        <v>907</v>
      </c>
      <c r="F17" s="371" t="s">
        <v>908</v>
      </c>
      <c r="G17" s="372" t="s">
        <v>909</v>
      </c>
      <c r="H17" s="374" t="s">
        <v>1100</v>
      </c>
      <c r="I17" s="371" t="s">
        <v>896</v>
      </c>
      <c r="J17" s="371" t="s">
        <v>1096</v>
      </c>
      <c r="K17" s="374" t="s">
        <v>1563</v>
      </c>
      <c r="L17" s="374" t="s">
        <v>1792</v>
      </c>
      <c r="M17" s="374" t="s">
        <v>1484</v>
      </c>
    </row>
    <row r="18" spans="2:14" ht="16.5" thickBot="1" x14ac:dyDescent="0.3">
      <c r="B18" s="375" t="s">
        <v>894</v>
      </c>
      <c r="C18" s="376" t="s">
        <v>904</v>
      </c>
      <c r="D18" s="376" t="s">
        <v>906</v>
      </c>
      <c r="E18" s="376" t="s">
        <v>1095</v>
      </c>
      <c r="F18" s="376" t="s">
        <v>941</v>
      </c>
      <c r="G18" s="378"/>
      <c r="H18" s="379" t="s">
        <v>1101</v>
      </c>
      <c r="I18" s="380" t="s">
        <v>897</v>
      </c>
      <c r="J18" s="380" t="s">
        <v>897</v>
      </c>
      <c r="K18" s="379" t="s">
        <v>1564</v>
      </c>
      <c r="L18" s="381" t="s">
        <v>1793</v>
      </c>
      <c r="M18" s="381" t="s">
        <v>1813</v>
      </c>
    </row>
    <row r="19" spans="2:14" x14ac:dyDescent="0.2">
      <c r="B19" s="7" t="s">
        <v>1099</v>
      </c>
      <c r="C19" s="10">
        <v>14</v>
      </c>
      <c r="D19" s="9">
        <v>0.1875</v>
      </c>
      <c r="E19" s="8">
        <v>4</v>
      </c>
      <c r="F19" s="9">
        <v>0.25</v>
      </c>
      <c r="G19" s="3">
        <v>0.625</v>
      </c>
      <c r="H19" s="11">
        <v>0.75</v>
      </c>
      <c r="I19" s="8" t="s">
        <v>899</v>
      </c>
      <c r="J19" s="9" t="s">
        <v>899</v>
      </c>
      <c r="K19" s="335">
        <f>((C19-(F19*2))*2+(E19*4)+(F19*4)-(D19*2))*12/144</f>
        <v>3.6354166666666665</v>
      </c>
      <c r="L19" s="336">
        <f>K19*3.2808399*0.09290304</f>
        <v>1.108075001684274</v>
      </c>
      <c r="M19" s="280">
        <f>N19*3.2808399*0.4535924</f>
        <v>26.78695279662168</v>
      </c>
      <c r="N19">
        <v>18</v>
      </c>
    </row>
    <row r="20" spans="2:14" x14ac:dyDescent="0.2">
      <c r="B20" s="314" t="s">
        <v>899</v>
      </c>
      <c r="C20" s="322" t="s">
        <v>899</v>
      </c>
      <c r="D20" s="322" t="s">
        <v>899</v>
      </c>
      <c r="E20" s="322" t="s">
        <v>899</v>
      </c>
      <c r="F20" s="322" t="s">
        <v>899</v>
      </c>
      <c r="G20" s="322" t="s">
        <v>899</v>
      </c>
      <c r="H20" s="322" t="s">
        <v>899</v>
      </c>
      <c r="I20" s="322" t="s">
        <v>899</v>
      </c>
      <c r="J20" s="322" t="s">
        <v>899</v>
      </c>
      <c r="K20" s="323"/>
      <c r="L20" s="324"/>
      <c r="M20" s="341"/>
    </row>
    <row r="21" spans="2:14" x14ac:dyDescent="0.2">
      <c r="B21" s="18" t="s">
        <v>1102</v>
      </c>
      <c r="C21" s="160">
        <v>12</v>
      </c>
      <c r="D21" s="135">
        <v>0.1875</v>
      </c>
      <c r="E21" s="160">
        <v>3.125</v>
      </c>
      <c r="F21" s="135">
        <v>0.25</v>
      </c>
      <c r="G21" s="135">
        <v>0.5625</v>
      </c>
      <c r="H21" s="178" t="s">
        <v>1103</v>
      </c>
      <c r="I21" s="160" t="s">
        <v>899</v>
      </c>
      <c r="J21" s="135" t="s">
        <v>899</v>
      </c>
      <c r="K21" s="123">
        <f>((C21-(F21*2))*2+(E21*4)+(F21*4)-(D21*2))*12/144</f>
        <v>3.0104166666666665</v>
      </c>
      <c r="L21" s="281">
        <f t="shared" ref="L21:L33" si="0">K21*3.2808399*0.09290304</f>
        <v>0.91757500139471393</v>
      </c>
      <c r="M21" s="281">
        <f t="shared" ref="M21:M33" si="1">N21*3.2808399*0.4535924</f>
        <v>17.56033572222977</v>
      </c>
      <c r="N21">
        <v>11.8</v>
      </c>
    </row>
    <row r="22" spans="2:14" x14ac:dyDescent="0.2">
      <c r="B22" s="159" t="s">
        <v>1705</v>
      </c>
      <c r="C22" s="160">
        <v>12</v>
      </c>
      <c r="D22" s="135">
        <v>0.1875</v>
      </c>
      <c r="E22" s="160">
        <v>3.125</v>
      </c>
      <c r="F22" s="135">
        <v>0.25</v>
      </c>
      <c r="G22" s="135">
        <v>0.5</v>
      </c>
      <c r="H22" s="178">
        <v>0.5</v>
      </c>
      <c r="I22" s="160"/>
      <c r="J22" s="135"/>
      <c r="K22" s="123">
        <f>((C22-(F22*2))*2+(E22*4)+(F22*4)-(D22*2))*12/144</f>
        <v>3.0104166666666665</v>
      </c>
      <c r="L22" s="281">
        <f t="shared" si="0"/>
        <v>0.91757500139471393</v>
      </c>
      <c r="M22" s="281">
        <f t="shared" si="1"/>
        <v>16.07217167797301</v>
      </c>
      <c r="N22">
        <v>10.8</v>
      </c>
    </row>
    <row r="23" spans="2:14" x14ac:dyDescent="0.2">
      <c r="B23" s="131" t="s">
        <v>1706</v>
      </c>
      <c r="C23" s="134">
        <v>12</v>
      </c>
      <c r="D23" s="133">
        <v>0.1875</v>
      </c>
      <c r="E23" s="134">
        <v>3.25</v>
      </c>
      <c r="F23" s="133">
        <v>0.1875</v>
      </c>
      <c r="G23" s="133">
        <v>0.5</v>
      </c>
      <c r="H23" s="175"/>
      <c r="I23" s="134"/>
      <c r="J23" s="133"/>
      <c r="K23" s="320">
        <f>((C23-(F23*2))*2+(E23*4)+(F23*4)-(D23*2))*12/144</f>
        <v>3.0520833333333335</v>
      </c>
      <c r="L23" s="340">
        <f t="shared" si="0"/>
        <v>0.9302750014140182</v>
      </c>
      <c r="M23" s="281">
        <f t="shared" si="1"/>
        <v>14.881640442567601</v>
      </c>
      <c r="N23">
        <v>10</v>
      </c>
    </row>
    <row r="24" spans="2:14" x14ac:dyDescent="0.2">
      <c r="B24" s="314" t="s">
        <v>899</v>
      </c>
      <c r="C24" s="322" t="s">
        <v>899</v>
      </c>
      <c r="D24" s="322" t="s">
        <v>899</v>
      </c>
      <c r="E24" s="322" t="s">
        <v>899</v>
      </c>
      <c r="F24" s="322" t="s">
        <v>899</v>
      </c>
      <c r="G24" s="322" t="s">
        <v>899</v>
      </c>
      <c r="H24" s="322" t="s">
        <v>899</v>
      </c>
      <c r="I24" s="322" t="s">
        <v>899</v>
      </c>
      <c r="J24" s="322" t="s">
        <v>899</v>
      </c>
      <c r="K24" s="323"/>
      <c r="L24" s="324"/>
      <c r="M24" s="341"/>
    </row>
    <row r="25" spans="2:14" x14ac:dyDescent="0.2">
      <c r="B25" s="18" t="s">
        <v>1104</v>
      </c>
      <c r="C25" s="160">
        <v>10</v>
      </c>
      <c r="D25" s="135">
        <v>0.1875</v>
      </c>
      <c r="E25" s="160">
        <v>2.75</v>
      </c>
      <c r="F25" s="135">
        <v>0.1875</v>
      </c>
      <c r="G25" s="135">
        <v>0.5625</v>
      </c>
      <c r="H25" s="178" t="s">
        <v>1103</v>
      </c>
      <c r="I25" s="160" t="s">
        <v>899</v>
      </c>
      <c r="J25" s="135" t="s">
        <v>899</v>
      </c>
      <c r="K25" s="123">
        <f>((C25-(F25*2))*2+(E25*4)+(F25*4)-(D25*2))*12/144</f>
        <v>2.5520833333333335</v>
      </c>
      <c r="L25" s="281">
        <f t="shared" si="0"/>
        <v>0.77787500118237018</v>
      </c>
      <c r="M25" s="281">
        <f t="shared" si="1"/>
        <v>13.39347639831084</v>
      </c>
      <c r="N25">
        <v>9</v>
      </c>
    </row>
    <row r="26" spans="2:14" x14ac:dyDescent="0.2">
      <c r="B26" s="18" t="s">
        <v>1707</v>
      </c>
      <c r="C26" s="20">
        <v>10</v>
      </c>
      <c r="D26" s="19">
        <v>0.1875</v>
      </c>
      <c r="E26" s="20">
        <v>2.75</v>
      </c>
      <c r="F26" s="19">
        <v>0.1875</v>
      </c>
      <c r="G26" s="19">
        <v>0.4375</v>
      </c>
      <c r="H26" s="23">
        <v>0.375</v>
      </c>
      <c r="I26" s="20"/>
      <c r="J26" s="19"/>
      <c r="K26" s="123">
        <f>((C26-(F26*2))*2+(E26*4)+(F26*4)-(D26*2))*12/144</f>
        <v>2.5520833333333335</v>
      </c>
      <c r="L26" s="281">
        <f t="shared" si="0"/>
        <v>0.77787500118237018</v>
      </c>
      <c r="M26" s="281">
        <f t="shared" si="1"/>
        <v>11.905312354054081</v>
      </c>
      <c r="N26">
        <v>8</v>
      </c>
    </row>
    <row r="27" spans="2:14" x14ac:dyDescent="0.2">
      <c r="B27" s="131" t="s">
        <v>1708</v>
      </c>
      <c r="C27" s="134">
        <v>10</v>
      </c>
      <c r="D27" s="133">
        <v>0.125</v>
      </c>
      <c r="E27" s="134">
        <v>2.75</v>
      </c>
      <c r="F27" s="133">
        <v>0.1875</v>
      </c>
      <c r="G27" s="133">
        <v>0.4375</v>
      </c>
      <c r="H27" s="175">
        <v>0.375</v>
      </c>
      <c r="I27" s="134"/>
      <c r="J27" s="133"/>
      <c r="K27" s="320">
        <f>((C27-(F27*2))*2+(E27*4)+(F27*4)-(D27*2))*12/144</f>
        <v>2.5625</v>
      </c>
      <c r="L27" s="340">
        <f t="shared" si="0"/>
        <v>0.78105000118719603</v>
      </c>
      <c r="M27" s="281">
        <f t="shared" si="1"/>
        <v>11.161230331925699</v>
      </c>
      <c r="N27">
        <v>7.5</v>
      </c>
    </row>
    <row r="28" spans="2:14" x14ac:dyDescent="0.2">
      <c r="B28" s="314" t="s">
        <v>899</v>
      </c>
      <c r="C28" s="322" t="s">
        <v>899</v>
      </c>
      <c r="D28" s="322" t="s">
        <v>899</v>
      </c>
      <c r="E28" s="322" t="s">
        <v>899</v>
      </c>
      <c r="F28" s="322" t="s">
        <v>899</v>
      </c>
      <c r="G28" s="322" t="s">
        <v>899</v>
      </c>
      <c r="H28" s="322" t="s">
        <v>899</v>
      </c>
      <c r="I28" s="322" t="s">
        <v>899</v>
      </c>
      <c r="J28" s="322" t="s">
        <v>899</v>
      </c>
      <c r="K28" s="323"/>
      <c r="L28" s="324"/>
      <c r="M28" s="341"/>
    </row>
    <row r="29" spans="2:14" x14ac:dyDescent="0.2">
      <c r="B29" s="131" t="s">
        <v>1105</v>
      </c>
      <c r="C29" s="132">
        <v>8</v>
      </c>
      <c r="D29" s="133">
        <v>0.125</v>
      </c>
      <c r="E29" s="134">
        <v>2.25</v>
      </c>
      <c r="F29" s="133">
        <v>0.1875</v>
      </c>
      <c r="G29" s="133">
        <v>0.5</v>
      </c>
      <c r="H29" s="176" t="s">
        <v>1103</v>
      </c>
      <c r="I29" s="134" t="s">
        <v>899</v>
      </c>
      <c r="J29" s="133" t="s">
        <v>899</v>
      </c>
      <c r="K29" s="320">
        <f>((C29-(F29*2))*2+(E29*4)+(F29*4)-(D29*2))*12/144</f>
        <v>2.0625</v>
      </c>
      <c r="L29" s="340">
        <f t="shared" si="0"/>
        <v>0.62865000095554813</v>
      </c>
      <c r="M29" s="281">
        <f t="shared" si="1"/>
        <v>9.6730662876689415</v>
      </c>
      <c r="N29">
        <v>6.5</v>
      </c>
    </row>
    <row r="30" spans="2:14" x14ac:dyDescent="0.2">
      <c r="B30" s="314" t="s">
        <v>899</v>
      </c>
      <c r="C30" s="322" t="s">
        <v>899</v>
      </c>
      <c r="D30" s="322" t="s">
        <v>899</v>
      </c>
      <c r="E30" s="322" t="s">
        <v>899</v>
      </c>
      <c r="F30" s="322" t="s">
        <v>899</v>
      </c>
      <c r="G30" s="322" t="s">
        <v>899</v>
      </c>
      <c r="H30" s="322" t="s">
        <v>899</v>
      </c>
      <c r="I30" s="322" t="s">
        <v>899</v>
      </c>
      <c r="J30" s="322" t="s">
        <v>899</v>
      </c>
      <c r="K30" s="323"/>
      <c r="L30" s="324"/>
      <c r="M30" s="341"/>
    </row>
    <row r="31" spans="2:14" x14ac:dyDescent="0.2">
      <c r="B31" s="131" t="s">
        <v>1106</v>
      </c>
      <c r="C31" s="134">
        <v>6</v>
      </c>
      <c r="D31" s="133">
        <v>0.125</v>
      </c>
      <c r="E31" s="134">
        <v>1.875</v>
      </c>
      <c r="F31" s="133">
        <v>0.1875</v>
      </c>
      <c r="G31" s="133">
        <v>0.1875</v>
      </c>
      <c r="H31" s="175" t="s">
        <v>1103</v>
      </c>
      <c r="I31" s="134" t="s">
        <v>899</v>
      </c>
      <c r="J31" s="133" t="s">
        <v>899</v>
      </c>
      <c r="K31" s="320">
        <f>((C31-(F31*2))*2+(E31*4)+(F31*4)-(D31*2))*12/144</f>
        <v>1.6041666666666667</v>
      </c>
      <c r="L31" s="340">
        <f t="shared" si="0"/>
        <v>0.48895000074320411</v>
      </c>
      <c r="M31" s="281">
        <f t="shared" si="1"/>
        <v>6.5479217947297448</v>
      </c>
      <c r="N31">
        <v>4.4000000000000004</v>
      </c>
    </row>
    <row r="32" spans="2:14" x14ac:dyDescent="0.2">
      <c r="B32" s="314" t="s">
        <v>899</v>
      </c>
      <c r="C32" s="322" t="s">
        <v>899</v>
      </c>
      <c r="D32" s="322" t="s">
        <v>899</v>
      </c>
      <c r="E32" s="322" t="s">
        <v>899</v>
      </c>
      <c r="F32" s="322" t="s">
        <v>899</v>
      </c>
      <c r="G32" s="322" t="s">
        <v>899</v>
      </c>
      <c r="H32" s="322" t="s">
        <v>899</v>
      </c>
      <c r="I32" s="322" t="s">
        <v>899</v>
      </c>
      <c r="J32" s="322" t="s">
        <v>899</v>
      </c>
      <c r="K32" s="323"/>
      <c r="L32" s="324"/>
      <c r="M32" s="341"/>
    </row>
    <row r="33" spans="2:14" x14ac:dyDescent="0.2">
      <c r="B33" s="131" t="s">
        <v>1107</v>
      </c>
      <c r="C33" s="132">
        <v>5</v>
      </c>
      <c r="D33" s="133">
        <v>0.3125</v>
      </c>
      <c r="E33" s="134">
        <v>5</v>
      </c>
      <c r="F33" s="133">
        <v>0.4375</v>
      </c>
      <c r="G33" s="133">
        <v>0.875</v>
      </c>
      <c r="H33" s="177">
        <v>0.875</v>
      </c>
      <c r="I33" s="134" t="s">
        <v>899</v>
      </c>
      <c r="J33" s="133" t="s">
        <v>899</v>
      </c>
      <c r="K33" s="123">
        <f>((C33-(F33*2))*2+(E33*4)+(F33*4)-(D33*2))*12/144</f>
        <v>2.4479166666666665</v>
      </c>
      <c r="L33" s="281">
        <f t="shared" si="0"/>
        <v>0.74612500113411007</v>
      </c>
      <c r="M33" s="281">
        <f t="shared" si="1"/>
        <v>28.126300436452762</v>
      </c>
      <c r="N33">
        <v>18.899999999999999</v>
      </c>
    </row>
    <row r="34" spans="2:14" x14ac:dyDescent="0.2">
      <c r="B34" s="18" t="s">
        <v>899</v>
      </c>
      <c r="C34" s="20" t="s">
        <v>899</v>
      </c>
      <c r="D34" s="19" t="s">
        <v>899</v>
      </c>
      <c r="E34" s="20" t="s">
        <v>899</v>
      </c>
      <c r="F34" s="19" t="s">
        <v>899</v>
      </c>
      <c r="G34" s="19" t="s">
        <v>899</v>
      </c>
      <c r="H34" s="19" t="s">
        <v>899</v>
      </c>
      <c r="I34" s="20" t="s">
        <v>899</v>
      </c>
      <c r="J34" s="19" t="s">
        <v>899</v>
      </c>
      <c r="K34" s="136"/>
      <c r="L34" s="136"/>
      <c r="M34" s="281"/>
    </row>
    <row r="35" spans="2:14" x14ac:dyDescent="0.2">
      <c r="B35" s="137"/>
      <c r="C35" s="137"/>
      <c r="D35" s="137"/>
      <c r="E35" s="137"/>
      <c r="F35" s="137"/>
      <c r="G35" s="137"/>
      <c r="H35" s="137"/>
      <c r="I35" s="137"/>
      <c r="J35" s="137"/>
      <c r="K35" s="137"/>
    </row>
    <row r="36" spans="2:14" x14ac:dyDescent="0.2">
      <c r="B36" s="137"/>
      <c r="C36" s="137"/>
      <c r="D36" s="137"/>
      <c r="E36" s="137"/>
      <c r="F36" s="137"/>
      <c r="G36" s="137"/>
      <c r="H36" s="137"/>
      <c r="I36" s="137"/>
      <c r="J36" s="137"/>
      <c r="K36" s="137"/>
    </row>
    <row r="37" spans="2:14" x14ac:dyDescent="0.2">
      <c r="B37" s="137"/>
      <c r="C37" s="137"/>
      <c r="D37" s="137"/>
      <c r="E37" s="137"/>
      <c r="F37" s="137"/>
      <c r="G37" s="137"/>
      <c r="H37" s="137"/>
      <c r="I37" s="137"/>
      <c r="J37" s="137"/>
      <c r="K37" s="137"/>
    </row>
    <row r="38" spans="2:14" x14ac:dyDescent="0.2">
      <c r="B38" s="137"/>
      <c r="C38" s="137"/>
      <c r="D38" s="137"/>
      <c r="E38" s="137"/>
      <c r="F38" s="137"/>
      <c r="G38" s="137"/>
      <c r="H38" s="137"/>
      <c r="I38" s="137"/>
      <c r="J38" s="137"/>
      <c r="K38" s="137"/>
    </row>
    <row r="39" spans="2:14" x14ac:dyDescent="0.2">
      <c r="B39" s="137"/>
      <c r="C39" s="137"/>
      <c r="D39" s="137"/>
      <c r="E39" s="137"/>
      <c r="F39" s="137"/>
      <c r="G39" s="137"/>
      <c r="H39" s="137"/>
      <c r="I39" s="137"/>
      <c r="J39" s="137"/>
      <c r="K39" s="137"/>
    </row>
    <row r="40" spans="2:14" x14ac:dyDescent="0.2">
      <c r="B40" s="137"/>
      <c r="C40" s="137"/>
      <c r="D40" s="137"/>
      <c r="E40" s="137"/>
      <c r="F40" s="137"/>
      <c r="G40" s="137"/>
      <c r="H40" s="137"/>
      <c r="I40" s="137"/>
      <c r="J40" s="137"/>
      <c r="K40" s="137"/>
    </row>
    <row r="41" spans="2:14" x14ac:dyDescent="0.2">
      <c r="B41" s="137"/>
      <c r="C41" s="137"/>
      <c r="D41" s="137"/>
      <c r="E41" s="137"/>
      <c r="F41" s="137"/>
      <c r="G41" s="137"/>
      <c r="H41" s="137"/>
      <c r="I41" s="137"/>
      <c r="J41" s="137"/>
      <c r="K41" s="137"/>
    </row>
  </sheetData>
  <sheetProtection password="CDD2" sheet="1" objects="1" scenarios="1"/>
  <pageMargins left="0.75" right="0.75" top="1" bottom="1" header="0.5" footer="0.5"/>
  <pageSetup orientation="portrait" verticalDpi="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O196"/>
  <sheetViews>
    <sheetView showGridLines="0" zoomScale="95" workbookViewId="0">
      <pane ySplit="18" topLeftCell="A19" activePane="bottomLeft" state="frozen"/>
      <selection pane="bottomLeft" activeCell="B4" sqref="B4"/>
    </sheetView>
  </sheetViews>
  <sheetFormatPr defaultRowHeight="12.75" x14ac:dyDescent="0.2"/>
  <cols>
    <col min="1" max="1" width="2.85546875" customWidth="1"/>
    <col min="3" max="3" width="8.5703125" customWidth="1"/>
    <col min="5" max="5" width="9.7109375" customWidth="1"/>
    <col min="6" max="6" width="9.28515625" customWidth="1"/>
    <col min="7" max="7" width="8.140625" customWidth="1"/>
    <col min="9" max="9" width="8.28515625" customWidth="1"/>
    <col min="10" max="10" width="9.7109375" customWidth="1"/>
    <col min="12" max="12" width="13.42578125" customWidth="1"/>
    <col min="13" max="13" width="13.7109375" customWidth="1"/>
    <col min="15" max="15" width="5.42578125" hidden="1" customWidth="1"/>
  </cols>
  <sheetData>
    <row r="1" spans="2:11" x14ac:dyDescent="0.2">
      <c r="B1" s="116">
        <f ca="1">NOW()</f>
        <v>42899.605034722219</v>
      </c>
    </row>
    <row r="2" spans="2:11" ht="15.75" x14ac:dyDescent="0.25">
      <c r="B2" s="117"/>
      <c r="H2" s="35" t="s">
        <v>1728</v>
      </c>
    </row>
    <row r="3" spans="2:11" ht="23.25" x14ac:dyDescent="0.35">
      <c r="C3" s="193" t="s">
        <v>1108</v>
      </c>
      <c r="H3" s="35" t="s">
        <v>1723</v>
      </c>
    </row>
    <row r="4" spans="2:11" x14ac:dyDescent="0.2">
      <c r="H4" s="192"/>
    </row>
    <row r="5" spans="2:11" ht="15.75" x14ac:dyDescent="0.25">
      <c r="H5" s="35"/>
    </row>
    <row r="6" spans="2:11" ht="15.75" x14ac:dyDescent="0.25">
      <c r="D6" s="35" t="s">
        <v>1727</v>
      </c>
      <c r="E6" s="35"/>
      <c r="F6" s="192"/>
      <c r="K6" s="35" t="s">
        <v>1730</v>
      </c>
    </row>
    <row r="9" spans="2:11" ht="15.75" x14ac:dyDescent="0.25">
      <c r="K9" s="35" t="s">
        <v>1726</v>
      </c>
    </row>
    <row r="11" spans="2:11" ht="15.75" x14ac:dyDescent="0.25">
      <c r="F11" s="35" t="s">
        <v>895</v>
      </c>
    </row>
    <row r="12" spans="2:11" ht="15.75" x14ac:dyDescent="0.25">
      <c r="F12" s="35" t="s">
        <v>1734</v>
      </c>
    </row>
    <row r="13" spans="2:11" ht="15.75" x14ac:dyDescent="0.25">
      <c r="I13" s="35" t="s">
        <v>1719</v>
      </c>
    </row>
    <row r="14" spans="2:11" ht="15.75" x14ac:dyDescent="0.25">
      <c r="J14" s="29" t="s">
        <v>1729</v>
      </c>
    </row>
    <row r="16" spans="2:11" ht="13.5" thickBot="1" x14ac:dyDescent="0.25">
      <c r="B16" s="17"/>
    </row>
    <row r="17" spans="2:15" ht="15.75" x14ac:dyDescent="0.25">
      <c r="B17" s="370" t="s">
        <v>893</v>
      </c>
      <c r="C17" s="371" t="s">
        <v>895</v>
      </c>
      <c r="D17" s="371" t="s">
        <v>905</v>
      </c>
      <c r="E17" s="371" t="s">
        <v>907</v>
      </c>
      <c r="F17" s="371" t="s">
        <v>1157</v>
      </c>
      <c r="G17" s="372" t="s">
        <v>909</v>
      </c>
      <c r="H17" s="371" t="s">
        <v>1111</v>
      </c>
      <c r="I17" s="374" t="s">
        <v>1100</v>
      </c>
      <c r="J17" s="371" t="s">
        <v>896</v>
      </c>
      <c r="K17" s="386" t="s">
        <v>1096</v>
      </c>
      <c r="L17" s="374" t="s">
        <v>1563</v>
      </c>
      <c r="M17" s="374" t="s">
        <v>1792</v>
      </c>
      <c r="N17" s="374" t="s">
        <v>1484</v>
      </c>
    </row>
    <row r="18" spans="2:15" ht="16.5" thickBot="1" x14ac:dyDescent="0.3">
      <c r="B18" s="375" t="s">
        <v>894</v>
      </c>
      <c r="C18" s="376" t="s">
        <v>904</v>
      </c>
      <c r="D18" s="376" t="s">
        <v>906</v>
      </c>
      <c r="E18" s="376" t="s">
        <v>1095</v>
      </c>
      <c r="F18" s="376" t="s">
        <v>941</v>
      </c>
      <c r="G18" s="378"/>
      <c r="H18" s="380"/>
      <c r="I18" s="379" t="s">
        <v>1101</v>
      </c>
      <c r="J18" s="380" t="s">
        <v>897</v>
      </c>
      <c r="K18" s="378" t="s">
        <v>897</v>
      </c>
      <c r="L18" s="379" t="s">
        <v>1564</v>
      </c>
      <c r="M18" s="381" t="s">
        <v>1793</v>
      </c>
      <c r="N18" s="381" t="s">
        <v>1813</v>
      </c>
    </row>
    <row r="19" spans="2:15" x14ac:dyDescent="0.2">
      <c r="B19" s="131" t="s">
        <v>1109</v>
      </c>
      <c r="C19" s="134">
        <v>24.5</v>
      </c>
      <c r="D19" s="133">
        <v>0.8125</v>
      </c>
      <c r="E19" s="134">
        <v>8</v>
      </c>
      <c r="F19" s="133">
        <v>1.0625</v>
      </c>
      <c r="G19" s="179">
        <v>2</v>
      </c>
      <c r="H19" s="179">
        <v>1.125</v>
      </c>
      <c r="I19" s="179">
        <v>1</v>
      </c>
      <c r="J19" s="134" t="s">
        <v>899</v>
      </c>
      <c r="K19" s="133" t="s">
        <v>899</v>
      </c>
      <c r="L19" s="180">
        <f>((C19-(F19*2))*2+(E19*4)+(F19*4)-(D19*2))*12/144</f>
        <v>6.614583333333333</v>
      </c>
      <c r="M19" s="280">
        <f>L19*3.2808399*0.09290304</f>
        <v>2.0161250030645101</v>
      </c>
      <c r="N19" s="280">
        <f>O19*3.2808399*0.4535924</f>
        <v>180.06784935506798</v>
      </c>
      <c r="O19">
        <v>121</v>
      </c>
    </row>
    <row r="20" spans="2:15" x14ac:dyDescent="0.2">
      <c r="B20" s="18" t="s">
        <v>1110</v>
      </c>
      <c r="C20" s="22">
        <v>24.5</v>
      </c>
      <c r="D20" s="21">
        <v>0.625</v>
      </c>
      <c r="E20" s="22">
        <v>7.875</v>
      </c>
      <c r="F20" s="21">
        <v>1.0625</v>
      </c>
      <c r="G20" s="21">
        <v>2</v>
      </c>
      <c r="H20" s="21">
        <v>1.125</v>
      </c>
      <c r="I20" s="21">
        <v>1</v>
      </c>
      <c r="J20" s="22" t="s">
        <v>899</v>
      </c>
      <c r="K20" s="21" t="s">
        <v>899</v>
      </c>
      <c r="L20" s="325">
        <f t="shared" ref="L20:L63" si="0">((C20-(F20*2))*2+(E20*4)+(F20*4)-(D20*2))*12/144</f>
        <v>6.604166666666667</v>
      </c>
      <c r="M20" s="340">
        <f t="shared" ref="M20:M63" si="1">L20*3.2808399*0.09290304</f>
        <v>2.0129500030596841</v>
      </c>
      <c r="N20" s="281">
        <f t="shared" ref="N20:N63" si="2">O20*3.2808399*0.4535924</f>
        <v>157.74538869121656</v>
      </c>
      <c r="O20">
        <v>106</v>
      </c>
    </row>
    <row r="21" spans="2:15" x14ac:dyDescent="0.2">
      <c r="B21" s="314"/>
      <c r="C21" s="322"/>
      <c r="D21" s="322"/>
      <c r="E21" s="322"/>
      <c r="F21" s="322"/>
      <c r="G21" s="322"/>
      <c r="H21" s="322"/>
      <c r="I21" s="322"/>
      <c r="J21" s="322"/>
      <c r="K21" s="322"/>
      <c r="L21" s="323"/>
      <c r="M21" s="324"/>
      <c r="N21" s="341"/>
    </row>
    <row r="22" spans="2:15" x14ac:dyDescent="0.2">
      <c r="B22" s="131" t="s">
        <v>1112</v>
      </c>
      <c r="C22" s="134">
        <v>24</v>
      </c>
      <c r="D22" s="133">
        <v>0.75</v>
      </c>
      <c r="E22" s="134">
        <v>7.25</v>
      </c>
      <c r="F22" s="133">
        <v>0.875</v>
      </c>
      <c r="G22" s="133">
        <v>1.75</v>
      </c>
      <c r="H22" s="133">
        <v>0.875</v>
      </c>
      <c r="I22" s="133">
        <v>1</v>
      </c>
      <c r="J22" s="134">
        <v>4</v>
      </c>
      <c r="K22" s="133">
        <v>3</v>
      </c>
      <c r="L22" s="123">
        <f t="shared" si="0"/>
        <v>6.291666666666667</v>
      </c>
      <c r="M22" s="281">
        <f t="shared" si="1"/>
        <v>1.9177000029149041</v>
      </c>
      <c r="N22" s="281">
        <f t="shared" si="2"/>
        <v>148.81640442567601</v>
      </c>
      <c r="O22">
        <v>100</v>
      </c>
    </row>
    <row r="23" spans="2:15" x14ac:dyDescent="0.2">
      <c r="B23" s="18" t="s">
        <v>1113</v>
      </c>
      <c r="C23" s="20">
        <v>24</v>
      </c>
      <c r="D23" s="19">
        <v>0.625</v>
      </c>
      <c r="E23" s="20">
        <v>7.125</v>
      </c>
      <c r="F23" s="19">
        <v>0.875</v>
      </c>
      <c r="G23" s="19">
        <v>1.75</v>
      </c>
      <c r="H23" s="19">
        <v>0.875</v>
      </c>
      <c r="I23" s="19">
        <v>1</v>
      </c>
      <c r="J23" s="20">
        <v>4</v>
      </c>
      <c r="K23" s="19">
        <v>3</v>
      </c>
      <c r="L23" s="136">
        <f t="shared" si="0"/>
        <v>6.270833333333333</v>
      </c>
      <c r="M23" s="281">
        <f t="shared" si="1"/>
        <v>1.9113500029052521</v>
      </c>
      <c r="N23" s="281">
        <f t="shared" si="2"/>
        <v>133.93476398310841</v>
      </c>
      <c r="O23">
        <v>90</v>
      </c>
    </row>
    <row r="24" spans="2:15" x14ac:dyDescent="0.2">
      <c r="B24" s="131" t="s">
        <v>1114</v>
      </c>
      <c r="C24" s="134">
        <v>24</v>
      </c>
      <c r="D24" s="133">
        <v>0.5</v>
      </c>
      <c r="E24" s="134">
        <v>7</v>
      </c>
      <c r="F24" s="133">
        <v>0.875</v>
      </c>
      <c r="G24" s="133">
        <v>1.75</v>
      </c>
      <c r="H24" s="133">
        <v>0.875</v>
      </c>
      <c r="I24" s="133">
        <v>1</v>
      </c>
      <c r="J24" s="134" t="s">
        <v>899</v>
      </c>
      <c r="K24" s="133" t="s">
        <v>899</v>
      </c>
      <c r="L24" s="325">
        <f t="shared" si="0"/>
        <v>6.25</v>
      </c>
      <c r="M24" s="340">
        <f t="shared" si="1"/>
        <v>1.9050000028956002</v>
      </c>
      <c r="N24" s="281">
        <f t="shared" si="2"/>
        <v>119.05312354054081</v>
      </c>
      <c r="O24">
        <v>80</v>
      </c>
    </row>
    <row r="25" spans="2:15" x14ac:dyDescent="0.2">
      <c r="B25" s="314" t="s">
        <v>899</v>
      </c>
      <c r="C25" s="322"/>
      <c r="D25" s="322"/>
      <c r="E25" s="322"/>
      <c r="F25" s="322"/>
      <c r="G25" s="322"/>
      <c r="H25" s="322"/>
      <c r="I25" s="322"/>
      <c r="J25" s="322"/>
      <c r="K25" s="322"/>
      <c r="L25" s="323"/>
      <c r="M25" s="324"/>
      <c r="N25" s="341"/>
    </row>
    <row r="26" spans="2:15" x14ac:dyDescent="0.2">
      <c r="B26" s="131" t="s">
        <v>1115</v>
      </c>
      <c r="C26" s="134">
        <v>20.25</v>
      </c>
      <c r="D26" s="133">
        <v>0.8125</v>
      </c>
      <c r="E26" s="134">
        <v>7.25</v>
      </c>
      <c r="F26" s="133">
        <v>0.9375</v>
      </c>
      <c r="G26" s="133">
        <v>1.75</v>
      </c>
      <c r="H26" s="133">
        <v>0.9375</v>
      </c>
      <c r="I26" s="133">
        <v>1</v>
      </c>
      <c r="J26" s="134" t="s">
        <v>899</v>
      </c>
      <c r="K26" s="133" t="s">
        <v>899</v>
      </c>
      <c r="L26" s="123">
        <f t="shared" si="0"/>
        <v>5.65625</v>
      </c>
      <c r="M26" s="281">
        <f t="shared" si="1"/>
        <v>1.7240250026205179</v>
      </c>
      <c r="N26" s="281">
        <f t="shared" si="2"/>
        <v>142.86374824864896</v>
      </c>
      <c r="O26">
        <v>96</v>
      </c>
    </row>
    <row r="27" spans="2:15" x14ac:dyDescent="0.2">
      <c r="B27" s="18" t="s">
        <v>1116</v>
      </c>
      <c r="C27" s="22">
        <v>20.25</v>
      </c>
      <c r="D27" s="21">
        <v>0.6875</v>
      </c>
      <c r="E27" s="22">
        <v>7</v>
      </c>
      <c r="F27" s="21">
        <v>0.9375</v>
      </c>
      <c r="G27" s="21">
        <v>1.75</v>
      </c>
      <c r="H27" s="21">
        <v>0.9375</v>
      </c>
      <c r="I27" s="21">
        <v>1</v>
      </c>
      <c r="J27" s="22" t="s">
        <v>899</v>
      </c>
      <c r="K27" s="21" t="s">
        <v>899</v>
      </c>
      <c r="L27" s="325">
        <f t="shared" si="0"/>
        <v>5.59375</v>
      </c>
      <c r="M27" s="340">
        <f t="shared" si="1"/>
        <v>1.7049750025915622</v>
      </c>
      <c r="N27" s="281">
        <f t="shared" si="2"/>
        <v>127.98210780608136</v>
      </c>
      <c r="O27">
        <v>86</v>
      </c>
    </row>
    <row r="28" spans="2:15" x14ac:dyDescent="0.2">
      <c r="B28" s="314"/>
      <c r="C28" s="322"/>
      <c r="D28" s="322"/>
      <c r="E28" s="322"/>
      <c r="F28" s="322"/>
      <c r="G28" s="322"/>
      <c r="H28" s="322"/>
      <c r="I28" s="322"/>
      <c r="J28" s="322"/>
      <c r="K28" s="322"/>
      <c r="L28" s="323"/>
      <c r="M28" s="324"/>
      <c r="N28" s="341"/>
    </row>
    <row r="29" spans="2:15" x14ac:dyDescent="0.2">
      <c r="B29" s="131" t="s">
        <v>1117</v>
      </c>
      <c r="C29" s="134">
        <v>20</v>
      </c>
      <c r="D29" s="133">
        <v>0.625</v>
      </c>
      <c r="E29" s="134">
        <v>6.375</v>
      </c>
      <c r="F29" s="133">
        <v>0.8125</v>
      </c>
      <c r="G29" s="133">
        <v>1.625</v>
      </c>
      <c r="H29" s="133">
        <v>0.8125</v>
      </c>
      <c r="I29" s="133">
        <v>0.875</v>
      </c>
      <c r="J29" s="134">
        <v>3.5</v>
      </c>
      <c r="K29" s="133">
        <v>3</v>
      </c>
      <c r="L29" s="123">
        <f t="shared" si="0"/>
        <v>5.354166666666667</v>
      </c>
      <c r="M29" s="281">
        <f t="shared" si="1"/>
        <v>1.6319500024805644</v>
      </c>
      <c r="N29" s="281">
        <f t="shared" si="2"/>
        <v>111.61230331925701</v>
      </c>
      <c r="O29">
        <v>75</v>
      </c>
    </row>
    <row r="30" spans="2:15" x14ac:dyDescent="0.2">
      <c r="B30" s="18" t="s">
        <v>1118</v>
      </c>
      <c r="C30" s="22">
        <v>20</v>
      </c>
      <c r="D30" s="21">
        <v>0.5</v>
      </c>
      <c r="E30" s="22">
        <v>6.25</v>
      </c>
      <c r="F30" s="21">
        <v>0.8125</v>
      </c>
      <c r="G30" s="21">
        <v>1.625</v>
      </c>
      <c r="H30" s="21">
        <v>0.8125</v>
      </c>
      <c r="I30" s="21">
        <v>0.875</v>
      </c>
      <c r="J30" s="22" t="s">
        <v>899</v>
      </c>
      <c r="K30" s="21" t="s">
        <v>899</v>
      </c>
      <c r="L30" s="325">
        <f t="shared" si="0"/>
        <v>5.333333333333333</v>
      </c>
      <c r="M30" s="281">
        <f t="shared" si="1"/>
        <v>1.6256000024709119</v>
      </c>
      <c r="N30" s="281">
        <f t="shared" si="2"/>
        <v>98.218826920946171</v>
      </c>
      <c r="O30">
        <v>66</v>
      </c>
    </row>
    <row r="31" spans="2:15" x14ac:dyDescent="0.2">
      <c r="B31" s="318" t="s">
        <v>899</v>
      </c>
      <c r="C31" s="322" t="s">
        <v>899</v>
      </c>
      <c r="D31" s="322" t="s">
        <v>899</v>
      </c>
      <c r="E31" s="322" t="s">
        <v>899</v>
      </c>
      <c r="F31" s="322" t="s">
        <v>899</v>
      </c>
      <c r="G31" s="322" t="s">
        <v>899</v>
      </c>
      <c r="H31" s="322"/>
      <c r="I31" s="322" t="s">
        <v>899</v>
      </c>
      <c r="J31" s="322" t="s">
        <v>899</v>
      </c>
      <c r="K31" s="322" t="s">
        <v>899</v>
      </c>
      <c r="L31" s="323"/>
      <c r="M31" s="341"/>
      <c r="N31" s="342"/>
    </row>
    <row r="32" spans="2:15" x14ac:dyDescent="0.2">
      <c r="B32" s="18" t="s">
        <v>1119</v>
      </c>
      <c r="C32" s="160">
        <v>18</v>
      </c>
      <c r="D32" s="135">
        <v>0.6875</v>
      </c>
      <c r="E32" s="160">
        <v>6.25</v>
      </c>
      <c r="F32" s="135">
        <v>0.6875</v>
      </c>
      <c r="G32" s="135">
        <v>1.5</v>
      </c>
      <c r="H32" s="135">
        <v>0.6875</v>
      </c>
      <c r="I32" s="135">
        <v>0.875</v>
      </c>
      <c r="J32" s="160">
        <v>3.5</v>
      </c>
      <c r="K32" s="135">
        <v>2.75</v>
      </c>
      <c r="L32" s="123">
        <f t="shared" si="0"/>
        <v>4.96875</v>
      </c>
      <c r="M32" s="281">
        <f t="shared" si="1"/>
        <v>1.5144750023020019</v>
      </c>
      <c r="N32" s="281">
        <f t="shared" si="2"/>
        <v>104.17148309797321</v>
      </c>
      <c r="O32">
        <v>70</v>
      </c>
    </row>
    <row r="33" spans="2:15" x14ac:dyDescent="0.2">
      <c r="B33" s="18" t="s">
        <v>1120</v>
      </c>
      <c r="C33" s="22">
        <v>18</v>
      </c>
      <c r="D33" s="21">
        <v>0.4375</v>
      </c>
      <c r="E33" s="22">
        <v>6</v>
      </c>
      <c r="F33" s="21">
        <v>0.6875</v>
      </c>
      <c r="G33" s="21">
        <v>1.5</v>
      </c>
      <c r="H33" s="21">
        <v>0.6875</v>
      </c>
      <c r="I33" s="21">
        <v>0.875</v>
      </c>
      <c r="J33" s="22">
        <v>3.5</v>
      </c>
      <c r="K33" s="21">
        <v>2.75</v>
      </c>
      <c r="L33" s="325">
        <f t="shared" si="0"/>
        <v>4.927083333333333</v>
      </c>
      <c r="M33" s="340">
        <f t="shared" si="1"/>
        <v>1.5017750022826981</v>
      </c>
      <c r="N33" s="281">
        <f t="shared" si="2"/>
        <v>81.402573220844786</v>
      </c>
      <c r="O33">
        <v>54.7</v>
      </c>
    </row>
    <row r="34" spans="2:15" x14ac:dyDescent="0.2">
      <c r="B34" s="314" t="s">
        <v>899</v>
      </c>
      <c r="C34" s="322" t="s">
        <v>899</v>
      </c>
      <c r="D34" s="322" t="s">
        <v>899</v>
      </c>
      <c r="E34" s="322" t="s">
        <v>899</v>
      </c>
      <c r="F34" s="322" t="s">
        <v>899</v>
      </c>
      <c r="G34" s="322" t="s">
        <v>899</v>
      </c>
      <c r="H34" s="322"/>
      <c r="I34" s="322" t="s">
        <v>899</v>
      </c>
      <c r="J34" s="322" t="s">
        <v>899</v>
      </c>
      <c r="K34" s="322" t="s">
        <v>899</v>
      </c>
      <c r="L34" s="323"/>
      <c r="M34" s="324"/>
      <c r="N34" s="341"/>
    </row>
    <row r="35" spans="2:15" x14ac:dyDescent="0.2">
      <c r="B35" s="131" t="s">
        <v>1121</v>
      </c>
      <c r="C35" s="134">
        <v>15</v>
      </c>
      <c r="D35" s="133">
        <v>0.5625</v>
      </c>
      <c r="E35" s="134">
        <v>5.625</v>
      </c>
      <c r="F35" s="133">
        <v>0.625</v>
      </c>
      <c r="G35" s="133">
        <v>1.375</v>
      </c>
      <c r="H35" s="133">
        <v>0.5625</v>
      </c>
      <c r="I35" s="133">
        <v>0.75</v>
      </c>
      <c r="J35" s="134">
        <v>3.5</v>
      </c>
      <c r="K35" s="133">
        <v>2.75</v>
      </c>
      <c r="L35" s="123">
        <f t="shared" si="0"/>
        <v>4.28125</v>
      </c>
      <c r="M35" s="281">
        <f t="shared" si="1"/>
        <v>1.3049250019834862</v>
      </c>
      <c r="N35" s="281">
        <f t="shared" si="2"/>
        <v>74.408202212838006</v>
      </c>
      <c r="O35">
        <v>50</v>
      </c>
    </row>
    <row r="36" spans="2:15" x14ac:dyDescent="0.2">
      <c r="B36" s="18" t="s">
        <v>1122</v>
      </c>
      <c r="C36" s="22">
        <v>15</v>
      </c>
      <c r="D36" s="21">
        <v>0.4375</v>
      </c>
      <c r="E36" s="22">
        <v>5.5</v>
      </c>
      <c r="F36" s="21">
        <v>0.625</v>
      </c>
      <c r="G36" s="21">
        <v>1.375</v>
      </c>
      <c r="H36" s="21">
        <v>0.5625</v>
      </c>
      <c r="I36" s="21">
        <v>0.75</v>
      </c>
      <c r="J36" s="22">
        <v>3.5</v>
      </c>
      <c r="K36" s="21">
        <v>2.75</v>
      </c>
      <c r="L36" s="325">
        <f t="shared" si="0"/>
        <v>4.260416666666667</v>
      </c>
      <c r="M36" s="340">
        <f t="shared" si="1"/>
        <v>1.2985750019738342</v>
      </c>
      <c r="N36" s="281">
        <f t="shared" si="2"/>
        <v>63.842237498614999</v>
      </c>
      <c r="O36">
        <v>42.9</v>
      </c>
    </row>
    <row r="37" spans="2:15" x14ac:dyDescent="0.2">
      <c r="B37" s="318" t="s">
        <v>899</v>
      </c>
      <c r="C37" s="322" t="s">
        <v>899</v>
      </c>
      <c r="D37" s="322" t="s">
        <v>899</v>
      </c>
      <c r="E37" s="322" t="s">
        <v>899</v>
      </c>
      <c r="F37" s="322" t="s">
        <v>899</v>
      </c>
      <c r="G37" s="322" t="s">
        <v>899</v>
      </c>
      <c r="H37" s="322"/>
      <c r="I37" s="322" t="s">
        <v>899</v>
      </c>
      <c r="J37" s="322" t="s">
        <v>899</v>
      </c>
      <c r="K37" s="322" t="s">
        <v>899</v>
      </c>
      <c r="L37" s="323"/>
      <c r="M37" s="324"/>
      <c r="N37" s="341"/>
    </row>
    <row r="38" spans="2:15" x14ac:dyDescent="0.2">
      <c r="B38" s="18" t="s">
        <v>1123</v>
      </c>
      <c r="C38" s="160">
        <v>12</v>
      </c>
      <c r="D38" s="135">
        <v>0.6875</v>
      </c>
      <c r="E38" s="160">
        <v>5.5</v>
      </c>
      <c r="F38" s="135">
        <v>0.6875</v>
      </c>
      <c r="G38" s="135">
        <v>1.4375</v>
      </c>
      <c r="H38" s="135">
        <v>0.6875</v>
      </c>
      <c r="I38" s="135">
        <v>0.75</v>
      </c>
      <c r="J38" s="160">
        <v>3</v>
      </c>
      <c r="K38" s="135">
        <v>2.75</v>
      </c>
      <c r="L38" s="123">
        <f t="shared" si="0"/>
        <v>3.71875</v>
      </c>
      <c r="M38" s="281">
        <f t="shared" si="1"/>
        <v>1.1334750017228821</v>
      </c>
      <c r="N38" s="281">
        <f t="shared" si="2"/>
        <v>74.408202212838006</v>
      </c>
      <c r="O38">
        <v>50</v>
      </c>
    </row>
    <row r="39" spans="2:15" x14ac:dyDescent="0.2">
      <c r="B39" s="18" t="s">
        <v>1124</v>
      </c>
      <c r="C39" s="22">
        <v>12</v>
      </c>
      <c r="D39" s="21">
        <v>0.4375</v>
      </c>
      <c r="E39" s="22">
        <v>5.25</v>
      </c>
      <c r="F39" s="21">
        <v>0.6875</v>
      </c>
      <c r="G39" s="21">
        <v>1.4375</v>
      </c>
      <c r="H39" s="21">
        <v>0.625</v>
      </c>
      <c r="I39" s="21">
        <v>0.75</v>
      </c>
      <c r="J39" s="22">
        <v>3</v>
      </c>
      <c r="K39" s="21">
        <v>2.75</v>
      </c>
      <c r="L39" s="325">
        <f t="shared" si="0"/>
        <v>3.6770833333333335</v>
      </c>
      <c r="M39" s="340">
        <f t="shared" si="1"/>
        <v>1.1207750017035782</v>
      </c>
      <c r="N39" s="281">
        <f t="shared" si="2"/>
        <v>60.717093005675807</v>
      </c>
      <c r="O39">
        <v>40.799999999999997</v>
      </c>
    </row>
    <row r="40" spans="2:15" x14ac:dyDescent="0.2">
      <c r="B40" s="318"/>
      <c r="C40" s="322"/>
      <c r="D40" s="322"/>
      <c r="E40" s="322"/>
      <c r="F40" s="322"/>
      <c r="G40" s="322"/>
      <c r="H40" s="322"/>
      <c r="I40" s="322"/>
      <c r="J40" s="322"/>
      <c r="K40" s="322"/>
      <c r="L40" s="323"/>
      <c r="M40" s="324"/>
      <c r="N40" s="341"/>
    </row>
    <row r="41" spans="2:15" x14ac:dyDescent="0.2">
      <c r="B41" s="18" t="s">
        <v>1125</v>
      </c>
      <c r="C41" s="160">
        <v>12</v>
      </c>
      <c r="D41" s="135">
        <v>0.4375</v>
      </c>
      <c r="E41" s="160">
        <v>5.125</v>
      </c>
      <c r="F41" s="135">
        <v>0.5625</v>
      </c>
      <c r="G41" s="135">
        <v>1.1875</v>
      </c>
      <c r="H41" s="135">
        <v>0.5</v>
      </c>
      <c r="I41" s="135">
        <v>0.75</v>
      </c>
      <c r="J41" s="160">
        <v>3</v>
      </c>
      <c r="K41" s="135">
        <v>2.5</v>
      </c>
      <c r="L41" s="123">
        <f t="shared" si="0"/>
        <v>3.6354166666666665</v>
      </c>
      <c r="M41" s="281">
        <f t="shared" si="1"/>
        <v>1.108075001684274</v>
      </c>
      <c r="N41" s="281">
        <f t="shared" si="2"/>
        <v>52.085741548986604</v>
      </c>
      <c r="O41">
        <v>35</v>
      </c>
    </row>
    <row r="42" spans="2:15" x14ac:dyDescent="0.2">
      <c r="B42" s="131" t="s">
        <v>1126</v>
      </c>
      <c r="C42" s="134">
        <v>12</v>
      </c>
      <c r="D42" s="133">
        <v>0.375</v>
      </c>
      <c r="E42" s="134">
        <v>5</v>
      </c>
      <c r="F42" s="133">
        <v>0.5625</v>
      </c>
      <c r="G42" s="133">
        <v>1.1875</v>
      </c>
      <c r="H42" s="133">
        <v>0.5</v>
      </c>
      <c r="I42" s="133">
        <v>0.75</v>
      </c>
      <c r="J42" s="134">
        <v>3</v>
      </c>
      <c r="K42" s="133">
        <v>2.5</v>
      </c>
      <c r="L42" s="325">
        <f t="shared" si="0"/>
        <v>3.6041666666666665</v>
      </c>
      <c r="M42" s="340">
        <f t="shared" si="1"/>
        <v>1.098550001669796</v>
      </c>
      <c r="N42" s="281">
        <f t="shared" si="2"/>
        <v>47.323616607364976</v>
      </c>
      <c r="O42">
        <v>31.8</v>
      </c>
    </row>
    <row r="43" spans="2:15" x14ac:dyDescent="0.2">
      <c r="B43" s="314" t="s">
        <v>899</v>
      </c>
      <c r="C43" s="322" t="s">
        <v>899</v>
      </c>
      <c r="D43" s="322" t="s">
        <v>899</v>
      </c>
      <c r="E43" s="322" t="s">
        <v>899</v>
      </c>
      <c r="F43" s="322" t="s">
        <v>899</v>
      </c>
      <c r="G43" s="322" t="s">
        <v>899</v>
      </c>
      <c r="H43" s="322"/>
      <c r="I43" s="322" t="s">
        <v>899</v>
      </c>
      <c r="J43" s="322" t="s">
        <v>899</v>
      </c>
      <c r="K43" s="322" t="s">
        <v>899</v>
      </c>
      <c r="L43" s="323"/>
      <c r="M43" s="324"/>
      <c r="N43" s="341"/>
    </row>
    <row r="44" spans="2:15" x14ac:dyDescent="0.2">
      <c r="B44" s="131" t="s">
        <v>1127</v>
      </c>
      <c r="C44" s="134">
        <v>10</v>
      </c>
      <c r="D44" s="133">
        <v>0.625</v>
      </c>
      <c r="E44" s="134">
        <v>5</v>
      </c>
      <c r="F44" s="133">
        <v>0.5</v>
      </c>
      <c r="G44" s="133">
        <v>1.125</v>
      </c>
      <c r="H44" s="133">
        <v>0.5</v>
      </c>
      <c r="I44" s="133">
        <v>0.75</v>
      </c>
      <c r="J44" s="134">
        <v>2.75</v>
      </c>
      <c r="K44" s="133">
        <v>2.5</v>
      </c>
      <c r="L44" s="123">
        <f t="shared" si="0"/>
        <v>3.2291666666666665</v>
      </c>
      <c r="M44" s="281">
        <f t="shared" si="1"/>
        <v>0.98425000149606012</v>
      </c>
      <c r="N44" s="281">
        <f t="shared" si="2"/>
        <v>52.085741548986604</v>
      </c>
      <c r="O44">
        <v>35</v>
      </c>
    </row>
    <row r="45" spans="2:15" x14ac:dyDescent="0.2">
      <c r="B45" s="18" t="s">
        <v>1128</v>
      </c>
      <c r="C45" s="22">
        <v>10</v>
      </c>
      <c r="D45" s="21">
        <v>0.3125</v>
      </c>
      <c r="E45" s="22">
        <v>4.625</v>
      </c>
      <c r="F45" s="21">
        <v>0.5</v>
      </c>
      <c r="G45" s="21">
        <v>1.125</v>
      </c>
      <c r="H45" s="21">
        <v>0.5</v>
      </c>
      <c r="I45" s="21">
        <v>0.75</v>
      </c>
      <c r="J45" s="22">
        <v>2.75</v>
      </c>
      <c r="K45" s="21">
        <v>2.5</v>
      </c>
      <c r="L45" s="325">
        <f t="shared" si="0"/>
        <v>3.15625</v>
      </c>
      <c r="M45" s="340">
        <f t="shared" si="1"/>
        <v>0.9620250014622781</v>
      </c>
      <c r="N45" s="281">
        <f t="shared" si="2"/>
        <v>37.799366724121704</v>
      </c>
      <c r="O45">
        <v>25.4</v>
      </c>
    </row>
    <row r="46" spans="2:15" x14ac:dyDescent="0.2">
      <c r="B46" s="314" t="s">
        <v>899</v>
      </c>
      <c r="C46" s="322" t="s">
        <v>899</v>
      </c>
      <c r="D46" s="322" t="s">
        <v>899</v>
      </c>
      <c r="E46" s="322" t="s">
        <v>899</v>
      </c>
      <c r="F46" s="322" t="s">
        <v>899</v>
      </c>
      <c r="G46" s="322" t="s">
        <v>899</v>
      </c>
      <c r="H46" s="322"/>
      <c r="I46" s="322" t="s">
        <v>899</v>
      </c>
      <c r="J46" s="322" t="s">
        <v>899</v>
      </c>
      <c r="K46" s="322" t="s">
        <v>899</v>
      </c>
      <c r="L46" s="323"/>
      <c r="M46" s="324"/>
      <c r="N46" s="341"/>
    </row>
    <row r="47" spans="2:15" x14ac:dyDescent="0.2">
      <c r="B47" s="18" t="s">
        <v>1129</v>
      </c>
      <c r="C47" s="160">
        <v>8</v>
      </c>
      <c r="D47" s="135">
        <v>0.4375</v>
      </c>
      <c r="E47" s="160">
        <v>4.125</v>
      </c>
      <c r="F47" s="135">
        <v>0.4375</v>
      </c>
      <c r="G47" s="135">
        <v>1</v>
      </c>
      <c r="H47" s="135">
        <v>0.4375</v>
      </c>
      <c r="I47" s="135">
        <v>0.75</v>
      </c>
      <c r="J47" s="160">
        <v>2.25</v>
      </c>
      <c r="K47" s="135">
        <v>2.5</v>
      </c>
      <c r="L47" s="123">
        <f t="shared" si="0"/>
        <v>2.6354166666666665</v>
      </c>
      <c r="M47" s="281">
        <f t="shared" si="1"/>
        <v>0.80327500122097806</v>
      </c>
      <c r="N47" s="281">
        <f t="shared" si="2"/>
        <v>34.227773017905477</v>
      </c>
      <c r="O47">
        <v>23</v>
      </c>
    </row>
    <row r="48" spans="2:15" x14ac:dyDescent="0.2">
      <c r="B48" s="131" t="s">
        <v>1130</v>
      </c>
      <c r="C48" s="134">
        <v>8</v>
      </c>
      <c r="D48" s="133">
        <v>0.25</v>
      </c>
      <c r="E48" s="134">
        <v>4</v>
      </c>
      <c r="F48" s="133">
        <v>0.4375</v>
      </c>
      <c r="G48" s="133">
        <v>1</v>
      </c>
      <c r="H48" s="133">
        <v>0.4375</v>
      </c>
      <c r="I48" s="133">
        <v>0.75</v>
      </c>
      <c r="J48" s="134">
        <v>2.25</v>
      </c>
      <c r="K48" s="133">
        <v>2.5</v>
      </c>
      <c r="L48" s="325">
        <f t="shared" si="0"/>
        <v>2.625</v>
      </c>
      <c r="M48" s="340">
        <f t="shared" si="1"/>
        <v>0.8001000012161521</v>
      </c>
      <c r="N48" s="281">
        <f t="shared" si="2"/>
        <v>27.382218414324385</v>
      </c>
      <c r="O48">
        <v>18.399999999999999</v>
      </c>
    </row>
    <row r="49" spans="2:15" x14ac:dyDescent="0.2">
      <c r="B49" s="314" t="s">
        <v>899</v>
      </c>
      <c r="C49" s="322" t="s">
        <v>899</v>
      </c>
      <c r="D49" s="322" t="s">
        <v>899</v>
      </c>
      <c r="E49" s="322" t="s">
        <v>899</v>
      </c>
      <c r="F49" s="322" t="s">
        <v>899</v>
      </c>
      <c r="G49" s="322" t="s">
        <v>899</v>
      </c>
      <c r="H49" s="322"/>
      <c r="I49" s="322" t="s">
        <v>899</v>
      </c>
      <c r="J49" s="322" t="s">
        <v>899</v>
      </c>
      <c r="K49" s="322" t="s">
        <v>899</v>
      </c>
      <c r="L49" s="323"/>
      <c r="M49" s="324"/>
      <c r="N49" s="341"/>
    </row>
    <row r="50" spans="2:15" x14ac:dyDescent="0.2">
      <c r="B50" s="131" t="s">
        <v>1131</v>
      </c>
      <c r="C50" s="134">
        <v>7</v>
      </c>
      <c r="D50" s="133">
        <v>0.4375</v>
      </c>
      <c r="E50" s="134">
        <v>3.875</v>
      </c>
      <c r="F50" s="133">
        <v>0.375</v>
      </c>
      <c r="G50" s="133">
        <v>0.9375</v>
      </c>
      <c r="H50" s="133">
        <v>0.375</v>
      </c>
      <c r="I50" s="133">
        <v>0.625</v>
      </c>
      <c r="J50" s="134" t="s">
        <v>899</v>
      </c>
      <c r="K50" s="133" t="s">
        <v>899</v>
      </c>
      <c r="L50" s="123">
        <f t="shared" si="0"/>
        <v>2.3854166666666665</v>
      </c>
      <c r="M50" s="281">
        <f t="shared" si="1"/>
        <v>0.727075001105154</v>
      </c>
      <c r="N50" s="281">
        <f t="shared" si="2"/>
        <v>29.763280885135202</v>
      </c>
      <c r="O50">
        <v>20</v>
      </c>
    </row>
    <row r="51" spans="2:15" x14ac:dyDescent="0.2">
      <c r="B51" s="18" t="s">
        <v>1132</v>
      </c>
      <c r="C51" s="22">
        <v>7</v>
      </c>
      <c r="D51" s="21">
        <v>0.25</v>
      </c>
      <c r="E51" s="22">
        <v>3.625</v>
      </c>
      <c r="F51" s="21">
        <v>0.375</v>
      </c>
      <c r="G51" s="21">
        <v>0.9375</v>
      </c>
      <c r="H51" s="21">
        <v>0.375</v>
      </c>
      <c r="I51" s="21">
        <v>0.625</v>
      </c>
      <c r="J51" s="22">
        <v>2.25</v>
      </c>
      <c r="K51" s="21">
        <v>2.5</v>
      </c>
      <c r="L51" s="325">
        <f t="shared" si="0"/>
        <v>2.3333333333333335</v>
      </c>
      <c r="M51" s="340">
        <f t="shared" si="1"/>
        <v>0.7112000010810241</v>
      </c>
      <c r="N51" s="281">
        <f t="shared" si="2"/>
        <v>22.768909877128429</v>
      </c>
      <c r="O51">
        <v>15.3</v>
      </c>
    </row>
    <row r="52" spans="2:15" x14ac:dyDescent="0.2">
      <c r="B52" s="318" t="s">
        <v>899</v>
      </c>
      <c r="C52" s="322" t="s">
        <v>899</v>
      </c>
      <c r="D52" s="322" t="s">
        <v>899</v>
      </c>
      <c r="E52" s="322" t="s">
        <v>899</v>
      </c>
      <c r="F52" s="322" t="s">
        <v>899</v>
      </c>
      <c r="G52" s="322" t="s">
        <v>899</v>
      </c>
      <c r="H52" s="322"/>
      <c r="I52" s="322" t="s">
        <v>899</v>
      </c>
      <c r="J52" s="322" t="s">
        <v>899</v>
      </c>
      <c r="K52" s="322" t="s">
        <v>899</v>
      </c>
      <c r="L52" s="343"/>
      <c r="M52" s="324"/>
      <c r="N52" s="341"/>
    </row>
    <row r="53" spans="2:15" x14ac:dyDescent="0.2">
      <c r="B53" s="18" t="s">
        <v>1133</v>
      </c>
      <c r="C53" s="160">
        <v>6</v>
      </c>
      <c r="D53" s="135">
        <v>0.4375</v>
      </c>
      <c r="E53" s="160">
        <v>3.625</v>
      </c>
      <c r="F53" s="135">
        <v>0.375</v>
      </c>
      <c r="G53" s="135">
        <v>0.875</v>
      </c>
      <c r="H53" s="135">
        <v>0.375</v>
      </c>
      <c r="I53" s="135">
        <v>0.625</v>
      </c>
      <c r="J53" s="160">
        <v>2</v>
      </c>
      <c r="K53" s="135">
        <v>2.25</v>
      </c>
      <c r="L53" s="123">
        <f t="shared" si="0"/>
        <v>2.1354166666666665</v>
      </c>
      <c r="M53" s="281">
        <f t="shared" si="1"/>
        <v>0.65087500098933004</v>
      </c>
      <c r="N53" s="281">
        <f t="shared" si="2"/>
        <v>25.670829763429111</v>
      </c>
      <c r="O53">
        <v>17.25</v>
      </c>
    </row>
    <row r="54" spans="2:15" x14ac:dyDescent="0.2">
      <c r="B54" s="131" t="s">
        <v>1134</v>
      </c>
      <c r="C54" s="134">
        <v>6</v>
      </c>
      <c r="D54" s="133">
        <v>0.25</v>
      </c>
      <c r="E54" s="134">
        <v>3.375</v>
      </c>
      <c r="F54" s="133">
        <v>0.375</v>
      </c>
      <c r="G54" s="133">
        <v>0.875</v>
      </c>
      <c r="H54" s="133">
        <v>0.375</v>
      </c>
      <c r="I54" s="181" t="s">
        <v>1103</v>
      </c>
      <c r="J54" s="182" t="s">
        <v>1103</v>
      </c>
      <c r="K54" s="133">
        <v>2.25</v>
      </c>
      <c r="L54" s="325">
        <f t="shared" si="0"/>
        <v>2.0833333333333335</v>
      </c>
      <c r="M54" s="340">
        <f t="shared" si="1"/>
        <v>0.63500000096520015</v>
      </c>
      <c r="N54" s="281">
        <f t="shared" si="2"/>
        <v>18.602050553209502</v>
      </c>
      <c r="O54">
        <v>12.5</v>
      </c>
    </row>
    <row r="55" spans="2:15" x14ac:dyDescent="0.2">
      <c r="B55" s="314" t="s">
        <v>899</v>
      </c>
      <c r="C55" s="322" t="s">
        <v>899</v>
      </c>
      <c r="D55" s="322" t="s">
        <v>899</v>
      </c>
      <c r="E55" s="322" t="s">
        <v>899</v>
      </c>
      <c r="F55" s="322" t="s">
        <v>899</v>
      </c>
      <c r="G55" s="322" t="s">
        <v>899</v>
      </c>
      <c r="H55" s="322"/>
      <c r="I55" s="344" t="s">
        <v>899</v>
      </c>
      <c r="J55" s="344" t="s">
        <v>899</v>
      </c>
      <c r="K55" s="322" t="s">
        <v>899</v>
      </c>
      <c r="L55" s="343"/>
      <c r="M55" s="324"/>
      <c r="N55" s="341"/>
    </row>
    <row r="56" spans="2:15" x14ac:dyDescent="0.2">
      <c r="B56" s="131" t="s">
        <v>1135</v>
      </c>
      <c r="C56" s="134">
        <v>5</v>
      </c>
      <c r="D56" s="133">
        <v>0.5</v>
      </c>
      <c r="E56" s="134">
        <v>3.25</v>
      </c>
      <c r="F56" s="133">
        <v>0.3125</v>
      </c>
      <c r="G56" s="133">
        <v>0.8125</v>
      </c>
      <c r="H56" s="133">
        <v>0.3125</v>
      </c>
      <c r="I56" s="181" t="s">
        <v>1103</v>
      </c>
      <c r="J56" s="183" t="s">
        <v>899</v>
      </c>
      <c r="K56" s="133" t="s">
        <v>899</v>
      </c>
      <c r="L56" s="123">
        <f t="shared" si="0"/>
        <v>1.8333333333333333</v>
      </c>
      <c r="M56" s="281">
        <f t="shared" si="1"/>
        <v>0.55880000084937598</v>
      </c>
      <c r="N56" s="281">
        <f t="shared" si="2"/>
        <v>21.950419652787211</v>
      </c>
      <c r="O56">
        <v>14.75</v>
      </c>
    </row>
    <row r="57" spans="2:15" x14ac:dyDescent="0.2">
      <c r="B57" s="18" t="s">
        <v>1136</v>
      </c>
      <c r="C57" s="22">
        <v>5</v>
      </c>
      <c r="D57" s="21">
        <v>0.1875</v>
      </c>
      <c r="E57" s="22">
        <v>3</v>
      </c>
      <c r="F57" s="21">
        <v>0.3125</v>
      </c>
      <c r="G57" s="21">
        <v>0.8125</v>
      </c>
      <c r="H57" s="21">
        <v>0.3125</v>
      </c>
      <c r="I57" s="345" t="s">
        <v>1103</v>
      </c>
      <c r="J57" s="346" t="s">
        <v>1103</v>
      </c>
      <c r="K57" s="21">
        <v>2.25</v>
      </c>
      <c r="L57" s="325">
        <f t="shared" si="0"/>
        <v>1.8020833333333333</v>
      </c>
      <c r="M57" s="340">
        <f t="shared" si="1"/>
        <v>0.549275000834898</v>
      </c>
      <c r="N57" s="281">
        <f t="shared" si="2"/>
        <v>14.881640442567601</v>
      </c>
      <c r="O57">
        <v>10</v>
      </c>
    </row>
    <row r="58" spans="2:15" x14ac:dyDescent="0.2">
      <c r="B58" s="314" t="s">
        <v>899</v>
      </c>
      <c r="C58" s="322"/>
      <c r="D58" s="322"/>
      <c r="E58" s="322"/>
      <c r="F58" s="322"/>
      <c r="G58" s="322"/>
      <c r="H58" s="322"/>
      <c r="I58" s="344"/>
      <c r="J58" s="344"/>
      <c r="K58" s="322"/>
      <c r="L58" s="343"/>
      <c r="M58" s="324"/>
      <c r="N58" s="341"/>
    </row>
    <row r="59" spans="2:15" x14ac:dyDescent="0.2">
      <c r="B59" s="18" t="s">
        <v>1137</v>
      </c>
      <c r="C59" s="160">
        <v>4</v>
      </c>
      <c r="D59" s="135">
        <v>0.3125</v>
      </c>
      <c r="E59" s="160">
        <v>2.75</v>
      </c>
      <c r="F59" s="135">
        <v>0.3125</v>
      </c>
      <c r="G59" s="135">
        <v>0.75</v>
      </c>
      <c r="H59" s="135">
        <v>0.3125</v>
      </c>
      <c r="I59" s="347" t="s">
        <v>1103</v>
      </c>
      <c r="J59" s="348" t="s">
        <v>1103</v>
      </c>
      <c r="K59" s="135">
        <v>2</v>
      </c>
      <c r="L59" s="123">
        <f t="shared" si="0"/>
        <v>1.53125</v>
      </c>
      <c r="M59" s="281">
        <f t="shared" si="1"/>
        <v>0.46672500070942202</v>
      </c>
      <c r="N59" s="281">
        <f t="shared" si="2"/>
        <v>14.13755842043922</v>
      </c>
      <c r="O59">
        <v>9.5</v>
      </c>
    </row>
    <row r="60" spans="2:15" x14ac:dyDescent="0.2">
      <c r="B60" s="131" t="s">
        <v>1138</v>
      </c>
      <c r="C60" s="134">
        <v>4</v>
      </c>
      <c r="D60" s="133">
        <v>0.1875</v>
      </c>
      <c r="E60" s="134">
        <v>2.625</v>
      </c>
      <c r="F60" s="133">
        <v>0.3125</v>
      </c>
      <c r="G60" s="133">
        <v>0.75</v>
      </c>
      <c r="H60" s="133">
        <v>0.3125</v>
      </c>
      <c r="I60" s="181" t="s">
        <v>1103</v>
      </c>
      <c r="J60" s="182" t="s">
        <v>1103</v>
      </c>
      <c r="K60" s="133">
        <v>2</v>
      </c>
      <c r="L60" s="325">
        <f t="shared" si="0"/>
        <v>1.5104166666666667</v>
      </c>
      <c r="M60" s="340">
        <f t="shared" si="1"/>
        <v>0.46037500069977011</v>
      </c>
      <c r="N60" s="281">
        <f t="shared" si="2"/>
        <v>11.458863140777053</v>
      </c>
      <c r="O60">
        <v>7.7</v>
      </c>
    </row>
    <row r="61" spans="2:15" x14ac:dyDescent="0.2">
      <c r="B61" s="314" t="s">
        <v>899</v>
      </c>
      <c r="C61" s="322" t="s">
        <v>899</v>
      </c>
      <c r="D61" s="322" t="s">
        <v>899</v>
      </c>
      <c r="E61" s="322" t="s">
        <v>899</v>
      </c>
      <c r="F61" s="322" t="s">
        <v>899</v>
      </c>
      <c r="G61" s="322" t="s">
        <v>899</v>
      </c>
      <c r="H61" s="322"/>
      <c r="I61" s="344" t="s">
        <v>899</v>
      </c>
      <c r="J61" s="344" t="s">
        <v>899</v>
      </c>
      <c r="K61" s="322" t="s">
        <v>899</v>
      </c>
      <c r="L61" s="343"/>
      <c r="M61" s="324"/>
      <c r="N61" s="341"/>
    </row>
    <row r="62" spans="2:15" x14ac:dyDescent="0.2">
      <c r="B62" s="131" t="s">
        <v>1139</v>
      </c>
      <c r="C62" s="134">
        <v>3</v>
      </c>
      <c r="D62" s="133">
        <v>0.375</v>
      </c>
      <c r="E62" s="134">
        <v>2.5</v>
      </c>
      <c r="F62" s="133">
        <v>0.25</v>
      </c>
      <c r="G62" s="133">
        <v>0.6875</v>
      </c>
      <c r="H62" s="133">
        <v>0.25</v>
      </c>
      <c r="I62" s="181" t="s">
        <v>1103</v>
      </c>
      <c r="J62" s="182" t="s">
        <v>1103</v>
      </c>
      <c r="K62" s="181" t="s">
        <v>1103</v>
      </c>
      <c r="L62" s="123">
        <f t="shared" si="0"/>
        <v>1.2708333333333333</v>
      </c>
      <c r="M62" s="281">
        <f t="shared" si="1"/>
        <v>0.38735000058877206</v>
      </c>
      <c r="N62" s="281">
        <f t="shared" si="2"/>
        <v>11.161230331925699</v>
      </c>
      <c r="O62">
        <v>7.5</v>
      </c>
    </row>
    <row r="63" spans="2:15" x14ac:dyDescent="0.2">
      <c r="B63" s="18" t="s">
        <v>1140</v>
      </c>
      <c r="C63" s="20">
        <v>3</v>
      </c>
      <c r="D63" s="19">
        <v>0.1875</v>
      </c>
      <c r="E63" s="20">
        <v>2.375</v>
      </c>
      <c r="F63" s="19">
        <v>0.25</v>
      </c>
      <c r="G63" s="19">
        <v>0.6875</v>
      </c>
      <c r="H63" s="19">
        <v>0.25</v>
      </c>
      <c r="I63" s="184" t="s">
        <v>1103</v>
      </c>
      <c r="J63" s="185" t="s">
        <v>1103</v>
      </c>
      <c r="K63" s="184" t="s">
        <v>1103</v>
      </c>
      <c r="L63" s="136">
        <f t="shared" si="0"/>
        <v>1.2604166666666667</v>
      </c>
      <c r="M63" s="281">
        <f t="shared" si="1"/>
        <v>0.3841750005839461</v>
      </c>
      <c r="N63" s="281">
        <f t="shared" si="2"/>
        <v>8.4825350522635325</v>
      </c>
      <c r="O63">
        <v>5.7</v>
      </c>
    </row>
    <row r="64" spans="2:15" x14ac:dyDescent="0.2">
      <c r="L64" s="137"/>
    </row>
    <row r="65" spans="2:12" x14ac:dyDescent="0.2">
      <c r="L65" s="137"/>
    </row>
    <row r="66" spans="2:12" x14ac:dyDescent="0.2">
      <c r="L66" s="137"/>
    </row>
    <row r="67" spans="2:12" x14ac:dyDescent="0.2">
      <c r="L67" s="137"/>
    </row>
    <row r="68" spans="2:12" x14ac:dyDescent="0.2">
      <c r="L68" s="137"/>
    </row>
    <row r="69" spans="2:12" x14ac:dyDescent="0.2">
      <c r="L69" s="137"/>
    </row>
    <row r="70" spans="2:12" x14ac:dyDescent="0.2">
      <c r="L70" s="137"/>
    </row>
    <row r="71" spans="2:12" x14ac:dyDescent="0.2">
      <c r="L71" s="137"/>
    </row>
    <row r="72" spans="2:12" x14ac:dyDescent="0.2">
      <c r="L72" s="137"/>
    </row>
    <row r="73" spans="2:12" x14ac:dyDescent="0.2">
      <c r="L73" s="137"/>
    </row>
    <row r="74" spans="2:12" x14ac:dyDescent="0.2">
      <c r="B74" s="131" t="s">
        <v>899</v>
      </c>
      <c r="C74" s="134" t="s">
        <v>899</v>
      </c>
      <c r="D74" s="133" t="s">
        <v>899</v>
      </c>
      <c r="E74" s="134" t="s">
        <v>899</v>
      </c>
      <c r="F74" s="133" t="s">
        <v>899</v>
      </c>
      <c r="G74" s="133" t="s">
        <v>899</v>
      </c>
      <c r="H74" s="133"/>
      <c r="I74" s="133" t="s">
        <v>899</v>
      </c>
      <c r="J74" s="134" t="s">
        <v>899</v>
      </c>
      <c r="K74" s="133" t="s">
        <v>899</v>
      </c>
      <c r="L74" s="137"/>
    </row>
    <row r="75" spans="2:12" x14ac:dyDescent="0.2">
      <c r="B75" s="18" t="s">
        <v>899</v>
      </c>
      <c r="C75" s="20" t="s">
        <v>899</v>
      </c>
      <c r="D75" s="19" t="s">
        <v>899</v>
      </c>
      <c r="E75" s="20" t="s">
        <v>899</v>
      </c>
      <c r="F75" s="19" t="s">
        <v>899</v>
      </c>
      <c r="G75" s="19" t="s">
        <v>899</v>
      </c>
      <c r="H75" s="19"/>
      <c r="I75" s="19" t="s">
        <v>899</v>
      </c>
      <c r="J75" s="20" t="s">
        <v>899</v>
      </c>
      <c r="K75" s="19" t="s">
        <v>899</v>
      </c>
      <c r="L75" s="137"/>
    </row>
    <row r="76" spans="2:12" x14ac:dyDescent="0.2">
      <c r="B76" s="131" t="s">
        <v>899</v>
      </c>
      <c r="C76" s="134" t="s">
        <v>899</v>
      </c>
      <c r="D76" s="133" t="s">
        <v>899</v>
      </c>
      <c r="E76" s="134" t="s">
        <v>899</v>
      </c>
      <c r="F76" s="133" t="s">
        <v>899</v>
      </c>
      <c r="G76" s="133" t="s">
        <v>899</v>
      </c>
      <c r="H76" s="133"/>
      <c r="I76" s="133" t="s">
        <v>899</v>
      </c>
      <c r="J76" s="134" t="s">
        <v>899</v>
      </c>
      <c r="K76" s="133" t="s">
        <v>899</v>
      </c>
      <c r="L76" s="137"/>
    </row>
    <row r="77" spans="2:12" x14ac:dyDescent="0.2">
      <c r="B77" s="18" t="s">
        <v>899</v>
      </c>
      <c r="C77" s="20" t="s">
        <v>899</v>
      </c>
      <c r="D77" s="19" t="s">
        <v>899</v>
      </c>
      <c r="E77" s="20" t="s">
        <v>899</v>
      </c>
      <c r="F77" s="19" t="s">
        <v>899</v>
      </c>
      <c r="G77" s="19" t="s">
        <v>899</v>
      </c>
      <c r="H77" s="19"/>
      <c r="I77" s="19" t="s">
        <v>899</v>
      </c>
      <c r="J77" s="20" t="s">
        <v>899</v>
      </c>
      <c r="K77" s="19" t="s">
        <v>899</v>
      </c>
      <c r="L77" s="137"/>
    </row>
    <row r="78" spans="2:12" x14ac:dyDescent="0.2">
      <c r="B78" s="7" t="s">
        <v>899</v>
      </c>
      <c r="C78" s="8" t="s">
        <v>899</v>
      </c>
      <c r="D78" s="9" t="s">
        <v>899</v>
      </c>
      <c r="E78" s="8" t="s">
        <v>899</v>
      </c>
      <c r="F78" s="9" t="s">
        <v>899</v>
      </c>
      <c r="G78" s="9" t="s">
        <v>899</v>
      </c>
      <c r="H78" s="9"/>
      <c r="I78" s="9" t="s">
        <v>899</v>
      </c>
      <c r="J78" s="8" t="s">
        <v>899</v>
      </c>
      <c r="K78" s="9" t="s">
        <v>899</v>
      </c>
    </row>
    <row r="79" spans="2:12" x14ac:dyDescent="0.2">
      <c r="B79" s="4" t="s">
        <v>899</v>
      </c>
      <c r="C79" s="5" t="s">
        <v>899</v>
      </c>
      <c r="D79" s="6" t="s">
        <v>899</v>
      </c>
      <c r="E79" s="5" t="s">
        <v>899</v>
      </c>
      <c r="F79" s="6" t="s">
        <v>899</v>
      </c>
      <c r="G79" s="6" t="s">
        <v>899</v>
      </c>
      <c r="H79" s="6"/>
      <c r="I79" s="6" t="s">
        <v>899</v>
      </c>
      <c r="J79" s="5" t="s">
        <v>899</v>
      </c>
      <c r="K79" s="6" t="s">
        <v>899</v>
      </c>
    </row>
    <row r="80" spans="2:12" x14ac:dyDescent="0.2">
      <c r="B80" s="7" t="s">
        <v>899</v>
      </c>
      <c r="C80" s="8" t="s">
        <v>899</v>
      </c>
      <c r="D80" s="9" t="s">
        <v>899</v>
      </c>
      <c r="E80" s="8" t="s">
        <v>899</v>
      </c>
      <c r="F80" s="9" t="s">
        <v>899</v>
      </c>
      <c r="G80" s="9" t="s">
        <v>899</v>
      </c>
      <c r="H80" s="9"/>
      <c r="I80" s="9" t="s">
        <v>899</v>
      </c>
      <c r="J80" s="8" t="s">
        <v>899</v>
      </c>
      <c r="K80" s="9" t="s">
        <v>899</v>
      </c>
    </row>
    <row r="81" spans="2:11" x14ac:dyDescent="0.2">
      <c r="B81" s="4" t="s">
        <v>899</v>
      </c>
      <c r="C81" s="5" t="s">
        <v>899</v>
      </c>
      <c r="D81" s="6" t="s">
        <v>899</v>
      </c>
      <c r="E81" s="5" t="s">
        <v>899</v>
      </c>
      <c r="F81" s="6" t="s">
        <v>899</v>
      </c>
      <c r="G81" s="6" t="s">
        <v>899</v>
      </c>
      <c r="H81" s="6"/>
      <c r="I81" s="6" t="s">
        <v>899</v>
      </c>
      <c r="J81" s="5" t="s">
        <v>899</v>
      </c>
      <c r="K81" s="6" t="s">
        <v>899</v>
      </c>
    </row>
    <row r="82" spans="2:11" x14ac:dyDescent="0.2">
      <c r="B82" s="12" t="s">
        <v>899</v>
      </c>
      <c r="C82" s="14" t="s">
        <v>899</v>
      </c>
      <c r="D82" s="2" t="s">
        <v>899</v>
      </c>
      <c r="E82" s="14" t="s">
        <v>899</v>
      </c>
      <c r="F82" s="2" t="s">
        <v>899</v>
      </c>
      <c r="G82" s="2" t="s">
        <v>899</v>
      </c>
      <c r="H82" s="2"/>
      <c r="I82" s="2" t="s">
        <v>899</v>
      </c>
      <c r="J82" s="14" t="s">
        <v>899</v>
      </c>
      <c r="K82" s="2" t="s">
        <v>899</v>
      </c>
    </row>
    <row r="83" spans="2:11" x14ac:dyDescent="0.2">
      <c r="B83" s="4" t="s">
        <v>899</v>
      </c>
      <c r="C83" s="5" t="s">
        <v>899</v>
      </c>
      <c r="D83" s="6" t="s">
        <v>899</v>
      </c>
      <c r="E83" s="5" t="s">
        <v>899</v>
      </c>
      <c r="F83" s="6" t="s">
        <v>899</v>
      </c>
      <c r="G83" s="6" t="s">
        <v>899</v>
      </c>
      <c r="H83" s="6"/>
      <c r="I83" s="6" t="s">
        <v>899</v>
      </c>
      <c r="J83" s="5" t="s">
        <v>899</v>
      </c>
      <c r="K83" s="6" t="s">
        <v>899</v>
      </c>
    </row>
    <row r="84" spans="2:11" x14ac:dyDescent="0.2">
      <c r="B84" s="7" t="s">
        <v>899</v>
      </c>
      <c r="C84" s="8" t="s">
        <v>899</v>
      </c>
      <c r="D84" s="9" t="s">
        <v>899</v>
      </c>
      <c r="E84" s="8" t="s">
        <v>899</v>
      </c>
      <c r="F84" s="9" t="s">
        <v>899</v>
      </c>
      <c r="G84" s="9" t="s">
        <v>899</v>
      </c>
      <c r="H84" s="9"/>
      <c r="I84" s="9" t="s">
        <v>899</v>
      </c>
      <c r="J84" s="8" t="s">
        <v>899</v>
      </c>
      <c r="K84" s="9" t="s">
        <v>899</v>
      </c>
    </row>
    <row r="85" spans="2:11" x14ac:dyDescent="0.2">
      <c r="B85" s="4" t="s">
        <v>899</v>
      </c>
      <c r="C85" s="5" t="s">
        <v>899</v>
      </c>
      <c r="D85" s="6" t="s">
        <v>899</v>
      </c>
      <c r="E85" s="5" t="s">
        <v>899</v>
      </c>
      <c r="F85" s="6" t="s">
        <v>899</v>
      </c>
      <c r="G85" s="6" t="s">
        <v>899</v>
      </c>
      <c r="H85" s="6"/>
      <c r="I85" s="6" t="s">
        <v>899</v>
      </c>
      <c r="J85" s="5" t="s">
        <v>899</v>
      </c>
      <c r="K85" s="6" t="s">
        <v>899</v>
      </c>
    </row>
    <row r="86" spans="2:11" x14ac:dyDescent="0.2">
      <c r="B86" s="7" t="s">
        <v>899</v>
      </c>
      <c r="C86" s="8" t="s">
        <v>899</v>
      </c>
      <c r="D86" s="9" t="s">
        <v>899</v>
      </c>
      <c r="E86" s="8" t="s">
        <v>899</v>
      </c>
      <c r="F86" s="9" t="s">
        <v>899</v>
      </c>
      <c r="G86" s="9" t="s">
        <v>899</v>
      </c>
      <c r="H86" s="9"/>
      <c r="I86" s="9" t="s">
        <v>899</v>
      </c>
      <c r="J86" s="8" t="s">
        <v>899</v>
      </c>
      <c r="K86" s="9" t="s">
        <v>899</v>
      </c>
    </row>
    <row r="87" spans="2:11" x14ac:dyDescent="0.2">
      <c r="B87" s="4" t="s">
        <v>899</v>
      </c>
      <c r="C87" s="5" t="s">
        <v>899</v>
      </c>
      <c r="D87" s="6" t="s">
        <v>899</v>
      </c>
      <c r="E87" s="5" t="s">
        <v>899</v>
      </c>
      <c r="F87" s="6" t="s">
        <v>899</v>
      </c>
      <c r="G87" s="6" t="s">
        <v>899</v>
      </c>
      <c r="H87" s="6"/>
      <c r="I87" s="6" t="s">
        <v>899</v>
      </c>
      <c r="J87" s="5" t="s">
        <v>899</v>
      </c>
      <c r="K87" s="6" t="s">
        <v>899</v>
      </c>
    </row>
    <row r="88" spans="2:11" x14ac:dyDescent="0.2">
      <c r="B88" s="7" t="s">
        <v>899</v>
      </c>
      <c r="C88" s="8" t="s">
        <v>899</v>
      </c>
      <c r="D88" s="9" t="s">
        <v>899</v>
      </c>
      <c r="E88" s="8" t="s">
        <v>899</v>
      </c>
      <c r="F88" s="9" t="s">
        <v>899</v>
      </c>
      <c r="G88" s="9" t="s">
        <v>899</v>
      </c>
      <c r="H88" s="9"/>
      <c r="I88" s="9" t="s">
        <v>899</v>
      </c>
      <c r="J88" s="8" t="s">
        <v>899</v>
      </c>
      <c r="K88" s="9" t="s">
        <v>899</v>
      </c>
    </row>
    <row r="89" spans="2:11" x14ac:dyDescent="0.2">
      <c r="B89" s="4" t="s">
        <v>899</v>
      </c>
      <c r="C89" s="5" t="s">
        <v>899</v>
      </c>
      <c r="D89" s="6" t="s">
        <v>899</v>
      </c>
      <c r="E89" s="5" t="s">
        <v>899</v>
      </c>
      <c r="F89" s="6" t="s">
        <v>899</v>
      </c>
      <c r="G89" s="6" t="s">
        <v>899</v>
      </c>
      <c r="H89" s="6"/>
      <c r="I89" s="6" t="s">
        <v>899</v>
      </c>
      <c r="J89" s="5" t="s">
        <v>899</v>
      </c>
      <c r="K89" s="6" t="s">
        <v>899</v>
      </c>
    </row>
    <row r="90" spans="2:11" x14ac:dyDescent="0.2">
      <c r="B90" s="7" t="s">
        <v>899</v>
      </c>
      <c r="C90" s="8" t="s">
        <v>899</v>
      </c>
      <c r="D90" s="9" t="s">
        <v>899</v>
      </c>
      <c r="E90" s="8" t="s">
        <v>899</v>
      </c>
      <c r="F90" s="9" t="s">
        <v>899</v>
      </c>
      <c r="G90" s="9" t="s">
        <v>899</v>
      </c>
      <c r="H90" s="9"/>
      <c r="I90" s="9" t="s">
        <v>899</v>
      </c>
      <c r="J90" s="8" t="s">
        <v>899</v>
      </c>
      <c r="K90" s="9" t="s">
        <v>899</v>
      </c>
    </row>
    <row r="91" spans="2:11" x14ac:dyDescent="0.2">
      <c r="B91" s="4" t="s">
        <v>899</v>
      </c>
      <c r="C91" s="5" t="s">
        <v>899</v>
      </c>
      <c r="D91" s="6" t="s">
        <v>899</v>
      </c>
      <c r="E91" s="5" t="s">
        <v>899</v>
      </c>
      <c r="F91" s="6" t="s">
        <v>899</v>
      </c>
      <c r="G91" s="6" t="s">
        <v>899</v>
      </c>
      <c r="H91" s="6"/>
      <c r="I91" s="6" t="s">
        <v>899</v>
      </c>
      <c r="J91" s="5" t="s">
        <v>899</v>
      </c>
      <c r="K91" s="6" t="s">
        <v>899</v>
      </c>
    </row>
    <row r="92" spans="2:11" x14ac:dyDescent="0.2">
      <c r="B92" s="7" t="s">
        <v>899</v>
      </c>
      <c r="C92" s="8" t="s">
        <v>899</v>
      </c>
      <c r="D92" s="9" t="s">
        <v>899</v>
      </c>
      <c r="E92" s="8" t="s">
        <v>899</v>
      </c>
      <c r="F92" s="9" t="s">
        <v>899</v>
      </c>
      <c r="G92" s="9" t="s">
        <v>899</v>
      </c>
      <c r="H92" s="9"/>
      <c r="I92" s="9" t="s">
        <v>899</v>
      </c>
      <c r="J92" s="8" t="s">
        <v>899</v>
      </c>
      <c r="K92" s="9" t="s">
        <v>899</v>
      </c>
    </row>
    <row r="93" spans="2:11" x14ac:dyDescent="0.2">
      <c r="B93" s="4" t="s">
        <v>899</v>
      </c>
      <c r="C93" s="5" t="s">
        <v>899</v>
      </c>
      <c r="D93" s="6" t="s">
        <v>899</v>
      </c>
      <c r="E93" s="5" t="s">
        <v>899</v>
      </c>
      <c r="F93" s="6" t="s">
        <v>899</v>
      </c>
      <c r="G93" s="6" t="s">
        <v>899</v>
      </c>
      <c r="H93" s="6"/>
      <c r="I93" s="6" t="s">
        <v>899</v>
      </c>
      <c r="J93" s="5" t="s">
        <v>899</v>
      </c>
      <c r="K93" s="6" t="s">
        <v>899</v>
      </c>
    </row>
    <row r="94" spans="2:11" x14ac:dyDescent="0.2">
      <c r="B94" s="12" t="s">
        <v>899</v>
      </c>
      <c r="C94" s="13" t="s">
        <v>899</v>
      </c>
      <c r="D94" s="2" t="s">
        <v>899</v>
      </c>
      <c r="E94" s="14" t="s">
        <v>899</v>
      </c>
      <c r="F94" s="2" t="s">
        <v>899</v>
      </c>
      <c r="G94" s="2" t="s">
        <v>899</v>
      </c>
      <c r="H94" s="2"/>
      <c r="I94" s="2" t="s">
        <v>899</v>
      </c>
      <c r="J94" s="14" t="s">
        <v>899</v>
      </c>
      <c r="K94" s="2" t="s">
        <v>899</v>
      </c>
    </row>
    <row r="95" spans="2:11" x14ac:dyDescent="0.2">
      <c r="B95" s="4" t="s">
        <v>899</v>
      </c>
      <c r="C95" s="5" t="s">
        <v>899</v>
      </c>
      <c r="D95" s="6" t="s">
        <v>899</v>
      </c>
      <c r="E95" s="5" t="s">
        <v>899</v>
      </c>
      <c r="F95" s="6" t="s">
        <v>899</v>
      </c>
      <c r="G95" s="6" t="s">
        <v>899</v>
      </c>
      <c r="H95" s="6"/>
      <c r="I95" s="6" t="s">
        <v>899</v>
      </c>
      <c r="J95" s="5" t="s">
        <v>899</v>
      </c>
      <c r="K95" s="6" t="s">
        <v>899</v>
      </c>
    </row>
    <row r="96" spans="2:11" x14ac:dyDescent="0.2">
      <c r="B96" s="7" t="s">
        <v>899</v>
      </c>
      <c r="C96" s="8" t="s">
        <v>899</v>
      </c>
      <c r="D96" s="9" t="s">
        <v>899</v>
      </c>
      <c r="E96" s="8" t="s">
        <v>899</v>
      </c>
      <c r="F96" s="9" t="s">
        <v>899</v>
      </c>
      <c r="G96" s="9" t="s">
        <v>899</v>
      </c>
      <c r="H96" s="9"/>
      <c r="I96" s="9" t="s">
        <v>899</v>
      </c>
      <c r="J96" s="8" t="s">
        <v>899</v>
      </c>
      <c r="K96" s="9" t="s">
        <v>899</v>
      </c>
    </row>
    <row r="97" spans="2:11" x14ac:dyDescent="0.2">
      <c r="B97" s="4" t="s">
        <v>899</v>
      </c>
      <c r="C97" s="5" t="s">
        <v>899</v>
      </c>
      <c r="D97" s="6" t="s">
        <v>899</v>
      </c>
      <c r="E97" s="5" t="s">
        <v>899</v>
      </c>
      <c r="F97" s="6" t="s">
        <v>899</v>
      </c>
      <c r="G97" s="6" t="s">
        <v>899</v>
      </c>
      <c r="H97" s="6"/>
      <c r="I97" s="6" t="s">
        <v>899</v>
      </c>
      <c r="J97" s="5" t="s">
        <v>899</v>
      </c>
      <c r="K97" s="6" t="s">
        <v>899</v>
      </c>
    </row>
    <row r="98" spans="2:11" x14ac:dyDescent="0.2">
      <c r="B98" s="7" t="s">
        <v>899</v>
      </c>
      <c r="C98" s="8" t="s">
        <v>899</v>
      </c>
      <c r="D98" s="9" t="s">
        <v>899</v>
      </c>
      <c r="E98" s="8" t="s">
        <v>899</v>
      </c>
      <c r="F98" s="9" t="s">
        <v>899</v>
      </c>
      <c r="G98" s="9" t="s">
        <v>899</v>
      </c>
      <c r="H98" s="9"/>
      <c r="I98" s="9" t="s">
        <v>899</v>
      </c>
      <c r="J98" s="8" t="s">
        <v>899</v>
      </c>
      <c r="K98" s="9" t="s">
        <v>899</v>
      </c>
    </row>
    <row r="99" spans="2:11" x14ac:dyDescent="0.2">
      <c r="B99" s="4" t="s">
        <v>899</v>
      </c>
      <c r="C99" s="5" t="s">
        <v>899</v>
      </c>
      <c r="D99" s="6" t="s">
        <v>899</v>
      </c>
      <c r="E99" s="5" t="s">
        <v>899</v>
      </c>
      <c r="F99" s="6" t="s">
        <v>899</v>
      </c>
      <c r="G99" s="6" t="s">
        <v>899</v>
      </c>
      <c r="H99" s="6"/>
      <c r="I99" s="6" t="s">
        <v>899</v>
      </c>
      <c r="J99" s="5" t="s">
        <v>899</v>
      </c>
      <c r="K99" s="6" t="s">
        <v>899</v>
      </c>
    </row>
    <row r="100" spans="2:11" x14ac:dyDescent="0.2">
      <c r="B100" s="7" t="s">
        <v>899</v>
      </c>
      <c r="C100" s="10" t="s">
        <v>899</v>
      </c>
      <c r="D100" s="9" t="s">
        <v>899</v>
      </c>
      <c r="E100" s="8" t="s">
        <v>899</v>
      </c>
      <c r="F100" s="9" t="s">
        <v>899</v>
      </c>
      <c r="G100" s="9" t="s">
        <v>899</v>
      </c>
      <c r="H100" s="9"/>
      <c r="I100" s="9" t="s">
        <v>899</v>
      </c>
      <c r="J100" s="8" t="s">
        <v>899</v>
      </c>
      <c r="K100" s="9" t="s">
        <v>899</v>
      </c>
    </row>
    <row r="101" spans="2:11" x14ac:dyDescent="0.2">
      <c r="B101" s="4" t="s">
        <v>899</v>
      </c>
      <c r="C101" s="5" t="s">
        <v>899</v>
      </c>
      <c r="D101" s="6" t="s">
        <v>899</v>
      </c>
      <c r="E101" s="5" t="s">
        <v>899</v>
      </c>
      <c r="F101" s="6" t="s">
        <v>899</v>
      </c>
      <c r="G101" s="6" t="s">
        <v>899</v>
      </c>
      <c r="H101" s="6"/>
      <c r="I101" s="6" t="s">
        <v>899</v>
      </c>
      <c r="J101" s="5" t="s">
        <v>899</v>
      </c>
      <c r="K101" s="6" t="s">
        <v>899</v>
      </c>
    </row>
    <row r="102" spans="2:11" x14ac:dyDescent="0.2">
      <c r="B102" s="7" t="s">
        <v>899</v>
      </c>
      <c r="C102" s="8" t="s">
        <v>899</v>
      </c>
      <c r="D102" s="9" t="s">
        <v>899</v>
      </c>
      <c r="E102" s="8" t="s">
        <v>899</v>
      </c>
      <c r="F102" s="9" t="s">
        <v>899</v>
      </c>
      <c r="G102" s="9" t="s">
        <v>899</v>
      </c>
      <c r="H102" s="9"/>
      <c r="I102" s="9" t="s">
        <v>899</v>
      </c>
      <c r="J102" s="8" t="s">
        <v>899</v>
      </c>
      <c r="K102" s="9" t="s">
        <v>899</v>
      </c>
    </row>
    <row r="103" spans="2:11" x14ac:dyDescent="0.2">
      <c r="B103" s="4" t="s">
        <v>899</v>
      </c>
      <c r="C103" s="5" t="s">
        <v>899</v>
      </c>
      <c r="D103" s="6" t="s">
        <v>899</v>
      </c>
      <c r="E103" s="5" t="s">
        <v>899</v>
      </c>
      <c r="F103" s="6" t="s">
        <v>899</v>
      </c>
      <c r="G103" s="6" t="s">
        <v>899</v>
      </c>
      <c r="H103" s="6"/>
      <c r="I103" s="6" t="s">
        <v>899</v>
      </c>
      <c r="J103" s="5" t="s">
        <v>899</v>
      </c>
      <c r="K103" s="6" t="s">
        <v>899</v>
      </c>
    </row>
    <row r="104" spans="2:11" x14ac:dyDescent="0.2">
      <c r="B104" s="7" t="s">
        <v>899</v>
      </c>
      <c r="C104" s="8" t="s">
        <v>899</v>
      </c>
      <c r="D104" s="9" t="s">
        <v>899</v>
      </c>
      <c r="E104" s="8" t="s">
        <v>899</v>
      </c>
      <c r="F104" s="9" t="s">
        <v>899</v>
      </c>
      <c r="G104" s="9" t="s">
        <v>899</v>
      </c>
      <c r="H104" s="9"/>
      <c r="I104" s="9" t="s">
        <v>899</v>
      </c>
      <c r="J104" s="8" t="s">
        <v>899</v>
      </c>
      <c r="K104" s="9" t="s">
        <v>899</v>
      </c>
    </row>
    <row r="105" spans="2:11" x14ac:dyDescent="0.2">
      <c r="B105" s="4" t="s">
        <v>899</v>
      </c>
      <c r="C105" s="5" t="s">
        <v>899</v>
      </c>
      <c r="D105" s="6" t="s">
        <v>899</v>
      </c>
      <c r="E105" s="5" t="s">
        <v>899</v>
      </c>
      <c r="F105" s="6" t="s">
        <v>899</v>
      </c>
      <c r="G105" s="6" t="s">
        <v>899</v>
      </c>
      <c r="H105" s="6"/>
      <c r="I105" s="6" t="s">
        <v>899</v>
      </c>
      <c r="J105" s="5" t="s">
        <v>899</v>
      </c>
      <c r="K105" s="6" t="s">
        <v>899</v>
      </c>
    </row>
    <row r="106" spans="2:11" x14ac:dyDescent="0.2">
      <c r="B106" s="12" t="s">
        <v>899</v>
      </c>
      <c r="C106" s="13" t="s">
        <v>899</v>
      </c>
      <c r="D106" s="2" t="s">
        <v>899</v>
      </c>
      <c r="E106" s="14" t="s">
        <v>899</v>
      </c>
      <c r="F106" s="2" t="s">
        <v>899</v>
      </c>
      <c r="G106" s="2" t="s">
        <v>899</v>
      </c>
      <c r="H106" s="2"/>
      <c r="I106" s="2" t="s">
        <v>899</v>
      </c>
      <c r="J106" s="14" t="s">
        <v>899</v>
      </c>
      <c r="K106" s="2" t="s">
        <v>899</v>
      </c>
    </row>
    <row r="107" spans="2:11" x14ac:dyDescent="0.2">
      <c r="B107" s="4" t="s">
        <v>899</v>
      </c>
      <c r="C107" s="5" t="s">
        <v>899</v>
      </c>
      <c r="D107" s="6" t="s">
        <v>899</v>
      </c>
      <c r="E107" s="5" t="s">
        <v>899</v>
      </c>
      <c r="F107" s="6" t="s">
        <v>899</v>
      </c>
      <c r="G107" s="6" t="s">
        <v>899</v>
      </c>
      <c r="H107" s="6"/>
      <c r="I107" s="6" t="s">
        <v>899</v>
      </c>
      <c r="J107" s="5" t="s">
        <v>899</v>
      </c>
      <c r="K107" s="6" t="s">
        <v>899</v>
      </c>
    </row>
    <row r="108" spans="2:11" x14ac:dyDescent="0.2">
      <c r="B108" s="7" t="s">
        <v>899</v>
      </c>
      <c r="C108" s="8" t="s">
        <v>899</v>
      </c>
      <c r="D108" s="9" t="s">
        <v>899</v>
      </c>
      <c r="E108" s="8" t="s">
        <v>899</v>
      </c>
      <c r="F108" s="9" t="s">
        <v>899</v>
      </c>
      <c r="G108" s="9" t="s">
        <v>899</v>
      </c>
      <c r="H108" s="9"/>
      <c r="I108" s="9" t="s">
        <v>899</v>
      </c>
      <c r="J108" s="8" t="s">
        <v>899</v>
      </c>
      <c r="K108" s="9" t="s">
        <v>899</v>
      </c>
    </row>
    <row r="109" spans="2:11" x14ac:dyDescent="0.2">
      <c r="B109" s="4" t="s">
        <v>899</v>
      </c>
      <c r="C109" s="5" t="s">
        <v>899</v>
      </c>
      <c r="D109" s="6" t="s">
        <v>899</v>
      </c>
      <c r="E109" s="5" t="s">
        <v>899</v>
      </c>
      <c r="F109" s="6" t="s">
        <v>899</v>
      </c>
      <c r="G109" s="6" t="s">
        <v>899</v>
      </c>
      <c r="H109" s="6"/>
      <c r="I109" s="6" t="s">
        <v>899</v>
      </c>
      <c r="J109" s="5" t="s">
        <v>899</v>
      </c>
      <c r="K109" s="6" t="s">
        <v>899</v>
      </c>
    </row>
    <row r="110" spans="2:11" x14ac:dyDescent="0.2">
      <c r="B110" s="7" t="s">
        <v>899</v>
      </c>
      <c r="C110" s="8" t="s">
        <v>899</v>
      </c>
      <c r="D110" s="9" t="s">
        <v>899</v>
      </c>
      <c r="E110" s="8" t="s">
        <v>899</v>
      </c>
      <c r="F110" s="9" t="s">
        <v>899</v>
      </c>
      <c r="G110" s="9" t="s">
        <v>899</v>
      </c>
      <c r="H110" s="9"/>
      <c r="I110" s="9" t="s">
        <v>899</v>
      </c>
      <c r="J110" s="8" t="s">
        <v>899</v>
      </c>
      <c r="K110" s="9" t="s">
        <v>899</v>
      </c>
    </row>
    <row r="111" spans="2:11" x14ac:dyDescent="0.2">
      <c r="B111" s="4" t="s">
        <v>899</v>
      </c>
      <c r="C111" s="5" t="s">
        <v>899</v>
      </c>
      <c r="D111" s="6" t="s">
        <v>899</v>
      </c>
      <c r="E111" s="5" t="s">
        <v>899</v>
      </c>
      <c r="F111" s="6" t="s">
        <v>899</v>
      </c>
      <c r="G111" s="6" t="s">
        <v>899</v>
      </c>
      <c r="H111" s="6"/>
      <c r="I111" s="6" t="s">
        <v>899</v>
      </c>
      <c r="J111" s="5" t="s">
        <v>899</v>
      </c>
      <c r="K111" s="6" t="s">
        <v>899</v>
      </c>
    </row>
    <row r="112" spans="2:11" x14ac:dyDescent="0.2">
      <c r="B112" s="7" t="s">
        <v>899</v>
      </c>
      <c r="C112" s="10" t="s">
        <v>899</v>
      </c>
      <c r="D112" s="9" t="s">
        <v>899</v>
      </c>
      <c r="E112" s="8" t="s">
        <v>899</v>
      </c>
      <c r="F112" s="9" t="s">
        <v>899</v>
      </c>
      <c r="G112" s="9" t="s">
        <v>899</v>
      </c>
      <c r="H112" s="9"/>
      <c r="I112" s="9" t="s">
        <v>899</v>
      </c>
      <c r="J112" s="8" t="s">
        <v>899</v>
      </c>
      <c r="K112" s="9" t="s">
        <v>899</v>
      </c>
    </row>
    <row r="113" spans="2:11" x14ac:dyDescent="0.2">
      <c r="B113" s="4" t="s">
        <v>899</v>
      </c>
      <c r="C113" s="5" t="s">
        <v>899</v>
      </c>
      <c r="D113" s="6" t="s">
        <v>899</v>
      </c>
      <c r="E113" s="5" t="s">
        <v>899</v>
      </c>
      <c r="F113" s="6" t="s">
        <v>899</v>
      </c>
      <c r="G113" s="6" t="s">
        <v>899</v>
      </c>
      <c r="H113" s="6"/>
      <c r="I113" s="6" t="s">
        <v>899</v>
      </c>
      <c r="J113" s="5" t="s">
        <v>899</v>
      </c>
      <c r="K113" s="6" t="s">
        <v>899</v>
      </c>
    </row>
    <row r="114" spans="2:11" x14ac:dyDescent="0.2">
      <c r="B114" s="7" t="s">
        <v>899</v>
      </c>
      <c r="C114" s="8" t="s">
        <v>899</v>
      </c>
      <c r="D114" s="9" t="s">
        <v>899</v>
      </c>
      <c r="E114" s="8" t="s">
        <v>899</v>
      </c>
      <c r="F114" s="9" t="s">
        <v>899</v>
      </c>
      <c r="G114" s="9" t="s">
        <v>899</v>
      </c>
      <c r="H114" s="9"/>
      <c r="I114" s="9" t="s">
        <v>899</v>
      </c>
      <c r="J114" s="8" t="s">
        <v>899</v>
      </c>
      <c r="K114" s="9" t="s">
        <v>899</v>
      </c>
    </row>
    <row r="115" spans="2:11" x14ac:dyDescent="0.2">
      <c r="B115" s="4" t="s">
        <v>899</v>
      </c>
      <c r="C115" s="5" t="s">
        <v>899</v>
      </c>
      <c r="D115" s="6" t="s">
        <v>899</v>
      </c>
      <c r="E115" s="5" t="s">
        <v>899</v>
      </c>
      <c r="F115" s="6" t="s">
        <v>899</v>
      </c>
      <c r="G115" s="6" t="s">
        <v>899</v>
      </c>
      <c r="H115" s="6"/>
      <c r="I115" s="6" t="s">
        <v>899</v>
      </c>
      <c r="J115" s="5" t="s">
        <v>899</v>
      </c>
      <c r="K115" s="6" t="s">
        <v>899</v>
      </c>
    </row>
    <row r="116" spans="2:11" x14ac:dyDescent="0.2">
      <c r="B116" s="7" t="s">
        <v>899</v>
      </c>
      <c r="C116" s="8" t="s">
        <v>899</v>
      </c>
      <c r="D116" s="9" t="s">
        <v>899</v>
      </c>
      <c r="E116" s="8" t="s">
        <v>899</v>
      </c>
      <c r="F116" s="9" t="s">
        <v>899</v>
      </c>
      <c r="G116" s="9" t="s">
        <v>899</v>
      </c>
      <c r="H116" s="9"/>
      <c r="I116" s="9" t="s">
        <v>899</v>
      </c>
      <c r="J116" s="8" t="s">
        <v>899</v>
      </c>
      <c r="K116" s="9" t="s">
        <v>899</v>
      </c>
    </row>
    <row r="117" spans="2:11" x14ac:dyDescent="0.2">
      <c r="B117" s="4" t="s">
        <v>899</v>
      </c>
      <c r="C117" s="5" t="s">
        <v>899</v>
      </c>
      <c r="D117" s="6" t="s">
        <v>899</v>
      </c>
      <c r="E117" s="5" t="s">
        <v>899</v>
      </c>
      <c r="F117" s="6" t="s">
        <v>899</v>
      </c>
      <c r="G117" s="6" t="s">
        <v>899</v>
      </c>
      <c r="H117" s="6"/>
      <c r="I117" s="6" t="s">
        <v>899</v>
      </c>
      <c r="J117" s="5" t="s">
        <v>899</v>
      </c>
      <c r="K117" s="6" t="s">
        <v>899</v>
      </c>
    </row>
    <row r="118" spans="2:11" x14ac:dyDescent="0.2">
      <c r="B118" s="12" t="s">
        <v>899</v>
      </c>
      <c r="C118" s="13" t="s">
        <v>899</v>
      </c>
      <c r="D118" s="2" t="s">
        <v>899</v>
      </c>
      <c r="E118" s="14" t="s">
        <v>899</v>
      </c>
      <c r="F118" s="2" t="s">
        <v>899</v>
      </c>
      <c r="G118" s="2" t="s">
        <v>899</v>
      </c>
      <c r="H118" s="2"/>
      <c r="I118" s="2" t="s">
        <v>899</v>
      </c>
      <c r="J118" s="14" t="s">
        <v>899</v>
      </c>
      <c r="K118" s="2" t="s">
        <v>899</v>
      </c>
    </row>
    <row r="119" spans="2:11" x14ac:dyDescent="0.2">
      <c r="I119" s="15"/>
    </row>
    <row r="120" spans="2:11" x14ac:dyDescent="0.2">
      <c r="I120" s="15"/>
    </row>
    <row r="121" spans="2:11" x14ac:dyDescent="0.2">
      <c r="I121" s="15"/>
    </row>
    <row r="122" spans="2:11" x14ac:dyDescent="0.2">
      <c r="I122" s="15"/>
    </row>
    <row r="123" spans="2:11" x14ac:dyDescent="0.2">
      <c r="I123" s="15"/>
    </row>
    <row r="124" spans="2:11" x14ac:dyDescent="0.2">
      <c r="I124" s="15"/>
    </row>
    <row r="125" spans="2:11" x14ac:dyDescent="0.2">
      <c r="I125" s="15"/>
    </row>
    <row r="126" spans="2:11" x14ac:dyDescent="0.2">
      <c r="I126" s="15"/>
    </row>
    <row r="127" spans="2:11" x14ac:dyDescent="0.2">
      <c r="I127" s="15"/>
    </row>
    <row r="128" spans="2:11" x14ac:dyDescent="0.2">
      <c r="I128" s="15"/>
    </row>
    <row r="129" spans="9:9" x14ac:dyDescent="0.2">
      <c r="I129" s="15"/>
    </row>
    <row r="130" spans="9:9" x14ac:dyDescent="0.2">
      <c r="I130" s="15"/>
    </row>
    <row r="131" spans="9:9" x14ac:dyDescent="0.2">
      <c r="I131" s="15"/>
    </row>
    <row r="132" spans="9:9" x14ac:dyDescent="0.2">
      <c r="I132" s="15"/>
    </row>
    <row r="133" spans="9:9" x14ac:dyDescent="0.2">
      <c r="I133" s="15"/>
    </row>
    <row r="134" spans="9:9" x14ac:dyDescent="0.2">
      <c r="I134" s="15"/>
    </row>
    <row r="135" spans="9:9" x14ac:dyDescent="0.2">
      <c r="I135" s="15"/>
    </row>
    <row r="136" spans="9:9" x14ac:dyDescent="0.2">
      <c r="I136" s="15"/>
    </row>
    <row r="137" spans="9:9" x14ac:dyDescent="0.2">
      <c r="I137" s="15"/>
    </row>
    <row r="138" spans="9:9" x14ac:dyDescent="0.2">
      <c r="I138" s="15"/>
    </row>
    <row r="139" spans="9:9" x14ac:dyDescent="0.2">
      <c r="I139" s="15"/>
    </row>
    <row r="140" spans="9:9" x14ac:dyDescent="0.2">
      <c r="I140" s="15"/>
    </row>
    <row r="141" spans="9:9" x14ac:dyDescent="0.2">
      <c r="I141" s="15"/>
    </row>
    <row r="142" spans="9:9" x14ac:dyDescent="0.2">
      <c r="I142" s="15"/>
    </row>
    <row r="143" spans="9:9" x14ac:dyDescent="0.2">
      <c r="I143" s="15"/>
    </row>
    <row r="144" spans="9:9" x14ac:dyDescent="0.2">
      <c r="I144" s="15"/>
    </row>
    <row r="145" spans="9:9" x14ac:dyDescent="0.2">
      <c r="I145" s="15"/>
    </row>
    <row r="146" spans="9:9" x14ac:dyDescent="0.2">
      <c r="I146" s="15"/>
    </row>
    <row r="147" spans="9:9" x14ac:dyDescent="0.2">
      <c r="I147" s="15"/>
    </row>
    <row r="148" spans="9:9" x14ac:dyDescent="0.2">
      <c r="I148" s="15"/>
    </row>
    <row r="149" spans="9:9" x14ac:dyDescent="0.2">
      <c r="I149" s="15"/>
    </row>
    <row r="150" spans="9:9" x14ac:dyDescent="0.2">
      <c r="I150" s="15"/>
    </row>
    <row r="151" spans="9:9" x14ac:dyDescent="0.2">
      <c r="I151" s="15"/>
    </row>
    <row r="152" spans="9:9" x14ac:dyDescent="0.2">
      <c r="I152" s="15"/>
    </row>
    <row r="153" spans="9:9" x14ac:dyDescent="0.2">
      <c r="I153" s="15"/>
    </row>
    <row r="154" spans="9:9" x14ac:dyDescent="0.2">
      <c r="I154" s="15"/>
    </row>
    <row r="155" spans="9:9" x14ac:dyDescent="0.2">
      <c r="I155" s="15"/>
    </row>
    <row r="156" spans="9:9" x14ac:dyDescent="0.2">
      <c r="I156" s="15"/>
    </row>
    <row r="157" spans="9:9" x14ac:dyDescent="0.2">
      <c r="I157" s="15"/>
    </row>
    <row r="158" spans="9:9" x14ac:dyDescent="0.2">
      <c r="I158" s="15"/>
    </row>
    <row r="159" spans="9:9" x14ac:dyDescent="0.2">
      <c r="I159" s="15"/>
    </row>
    <row r="160" spans="9:9" x14ac:dyDescent="0.2">
      <c r="I160" s="15"/>
    </row>
    <row r="161" spans="9:9" x14ac:dyDescent="0.2">
      <c r="I161" s="15"/>
    </row>
    <row r="162" spans="9:9" x14ac:dyDescent="0.2">
      <c r="I162" s="15"/>
    </row>
    <row r="163" spans="9:9" x14ac:dyDescent="0.2">
      <c r="I163" s="15"/>
    </row>
    <row r="164" spans="9:9" x14ac:dyDescent="0.2">
      <c r="I164" s="15"/>
    </row>
    <row r="165" spans="9:9" x14ac:dyDescent="0.2">
      <c r="I165" s="15"/>
    </row>
    <row r="166" spans="9:9" x14ac:dyDescent="0.2">
      <c r="I166" s="15"/>
    </row>
    <row r="167" spans="9:9" x14ac:dyDescent="0.2">
      <c r="I167" s="15"/>
    </row>
    <row r="168" spans="9:9" x14ac:dyDescent="0.2">
      <c r="I168" s="15"/>
    </row>
    <row r="169" spans="9:9" x14ac:dyDescent="0.2">
      <c r="I169" s="15"/>
    </row>
    <row r="170" spans="9:9" x14ac:dyDescent="0.2">
      <c r="I170" s="15"/>
    </row>
    <row r="171" spans="9:9" x14ac:dyDescent="0.2">
      <c r="I171" s="15"/>
    </row>
    <row r="172" spans="9:9" x14ac:dyDescent="0.2">
      <c r="I172" s="15"/>
    </row>
    <row r="173" spans="9:9" x14ac:dyDescent="0.2">
      <c r="I173" s="15"/>
    </row>
    <row r="174" spans="9:9" x14ac:dyDescent="0.2">
      <c r="I174" s="15"/>
    </row>
    <row r="175" spans="9:9" x14ac:dyDescent="0.2">
      <c r="I175" s="15"/>
    </row>
    <row r="176" spans="9:9" x14ac:dyDescent="0.2">
      <c r="I176" s="15"/>
    </row>
    <row r="177" spans="9:9" x14ac:dyDescent="0.2">
      <c r="I177" s="15"/>
    </row>
    <row r="178" spans="9:9" x14ac:dyDescent="0.2">
      <c r="I178" s="15"/>
    </row>
    <row r="179" spans="9:9" x14ac:dyDescent="0.2">
      <c r="I179" s="15"/>
    </row>
    <row r="180" spans="9:9" x14ac:dyDescent="0.2">
      <c r="I180" s="15"/>
    </row>
    <row r="181" spans="9:9" x14ac:dyDescent="0.2">
      <c r="I181" s="15"/>
    </row>
    <row r="182" spans="9:9" x14ac:dyDescent="0.2">
      <c r="I182" s="15"/>
    </row>
    <row r="183" spans="9:9" x14ac:dyDescent="0.2">
      <c r="I183" s="15"/>
    </row>
    <row r="184" spans="9:9" x14ac:dyDescent="0.2">
      <c r="I184" s="15"/>
    </row>
    <row r="185" spans="9:9" x14ac:dyDescent="0.2">
      <c r="I185" s="15"/>
    </row>
    <row r="186" spans="9:9" x14ac:dyDescent="0.2">
      <c r="I186" s="15"/>
    </row>
    <row r="187" spans="9:9" x14ac:dyDescent="0.2">
      <c r="I187" s="15"/>
    </row>
    <row r="188" spans="9:9" x14ac:dyDescent="0.2">
      <c r="I188" s="15"/>
    </row>
    <row r="189" spans="9:9" x14ac:dyDescent="0.2">
      <c r="I189" s="15"/>
    </row>
    <row r="190" spans="9:9" x14ac:dyDescent="0.2">
      <c r="I190" s="15"/>
    </row>
    <row r="191" spans="9:9" x14ac:dyDescent="0.2">
      <c r="I191" s="15"/>
    </row>
    <row r="192" spans="9:9" x14ac:dyDescent="0.2">
      <c r="I192" s="15"/>
    </row>
    <row r="193" spans="9:9" x14ac:dyDescent="0.2">
      <c r="I193" s="15"/>
    </row>
    <row r="194" spans="9:9" x14ac:dyDescent="0.2">
      <c r="I194" s="15"/>
    </row>
    <row r="195" spans="9:9" x14ac:dyDescent="0.2">
      <c r="I195" s="15"/>
    </row>
    <row r="196" spans="9:9" x14ac:dyDescent="0.2">
      <c r="I196" s="15"/>
    </row>
  </sheetData>
  <sheetProtection password="CDD2" sheet="1" objects="1" scenarios="1"/>
  <pageMargins left="0.75" right="0.75" top="1" bottom="1" header="0.5" footer="0.5"/>
  <pageSetup orientation="portrait" verticalDpi="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L66"/>
  <sheetViews>
    <sheetView showGridLines="0" zoomScale="95" workbookViewId="0">
      <pane ySplit="18" topLeftCell="A19" activePane="bottomLeft" state="frozen"/>
      <selection pane="bottomLeft"/>
    </sheetView>
  </sheetViews>
  <sheetFormatPr defaultRowHeight="12.75" x14ac:dyDescent="0.2"/>
  <cols>
    <col min="1" max="1" width="2.7109375" customWidth="1"/>
    <col min="2" max="2" width="10.28515625" customWidth="1"/>
    <col min="5" max="5" width="9.7109375" customWidth="1"/>
    <col min="9" max="10" width="12.7109375" customWidth="1"/>
    <col min="12" max="12" width="4.140625" hidden="1" customWidth="1"/>
  </cols>
  <sheetData>
    <row r="1" spans="2:10" ht="15.75" x14ac:dyDescent="0.25">
      <c r="B1" s="116">
        <f ca="1">NOW()</f>
        <v>42899.605034722219</v>
      </c>
      <c r="G1" s="35" t="s">
        <v>1722</v>
      </c>
    </row>
    <row r="2" spans="2:10" ht="15.75" x14ac:dyDescent="0.25">
      <c r="B2" s="117"/>
      <c r="G2" s="35" t="s">
        <v>1723</v>
      </c>
    </row>
    <row r="3" spans="2:10" x14ac:dyDescent="0.2">
      <c r="G3" s="192"/>
    </row>
    <row r="4" spans="2:10" ht="23.25" x14ac:dyDescent="0.35">
      <c r="B4" s="193" t="s">
        <v>1141</v>
      </c>
      <c r="G4" s="35" t="s">
        <v>1724</v>
      </c>
    </row>
    <row r="5" spans="2:10" ht="15.75" x14ac:dyDescent="0.25">
      <c r="D5" s="35" t="s">
        <v>1720</v>
      </c>
      <c r="E5" s="192"/>
      <c r="J5" s="35" t="s">
        <v>1725</v>
      </c>
    </row>
    <row r="8" spans="2:10" ht="15.75" x14ac:dyDescent="0.25">
      <c r="J8" s="35" t="s">
        <v>1726</v>
      </c>
    </row>
    <row r="10" spans="2:10" ht="15.75" x14ac:dyDescent="0.25">
      <c r="E10" s="35" t="s">
        <v>895</v>
      </c>
    </row>
    <row r="11" spans="2:10" ht="15.75" x14ac:dyDescent="0.25">
      <c r="E11" s="35" t="s">
        <v>1721</v>
      </c>
    </row>
    <row r="12" spans="2:10" ht="15.75" x14ac:dyDescent="0.25">
      <c r="H12" s="35" t="s">
        <v>1719</v>
      </c>
    </row>
    <row r="16" spans="2:10" ht="13.5" thickBot="1" x14ac:dyDescent="0.25"/>
    <row r="17" spans="2:12" ht="15.75" x14ac:dyDescent="0.25">
      <c r="B17" s="370" t="s">
        <v>893</v>
      </c>
      <c r="C17" s="371" t="s">
        <v>895</v>
      </c>
      <c r="D17" s="371" t="s">
        <v>905</v>
      </c>
      <c r="E17" s="371" t="s">
        <v>907</v>
      </c>
      <c r="F17" s="371" t="s">
        <v>908</v>
      </c>
      <c r="G17" s="372" t="s">
        <v>909</v>
      </c>
      <c r="H17" s="373" t="s">
        <v>910</v>
      </c>
      <c r="I17" s="374" t="s">
        <v>1563</v>
      </c>
      <c r="J17" s="374" t="s">
        <v>1792</v>
      </c>
      <c r="K17" s="374" t="s">
        <v>1484</v>
      </c>
    </row>
    <row r="18" spans="2:12" ht="16.5" thickBot="1" x14ac:dyDescent="0.3">
      <c r="B18" s="375" t="s">
        <v>894</v>
      </c>
      <c r="C18" s="376" t="s">
        <v>904</v>
      </c>
      <c r="D18" s="376" t="s">
        <v>906</v>
      </c>
      <c r="E18" s="376" t="s">
        <v>1095</v>
      </c>
      <c r="F18" s="376" t="s">
        <v>941</v>
      </c>
      <c r="G18" s="378"/>
      <c r="H18" s="379"/>
      <c r="I18" s="379" t="s">
        <v>1564</v>
      </c>
      <c r="J18" s="381" t="s">
        <v>1793</v>
      </c>
      <c r="K18" s="381" t="s">
        <v>1813</v>
      </c>
    </row>
    <row r="19" spans="2:12" x14ac:dyDescent="0.2">
      <c r="B19" s="131" t="s">
        <v>1142</v>
      </c>
      <c r="C19" s="132">
        <v>14.25</v>
      </c>
      <c r="D19" s="133">
        <v>0.8125</v>
      </c>
      <c r="E19" s="134">
        <v>14.875</v>
      </c>
      <c r="F19" s="133">
        <v>0.8125</v>
      </c>
      <c r="G19" s="179">
        <v>1.5</v>
      </c>
      <c r="H19" s="186">
        <v>1.0625</v>
      </c>
      <c r="I19" s="180">
        <f>((C19-(D19*2))*2+(E19*4)+(F19*4)-(D19*2))*12/144</f>
        <v>7.197916666666667</v>
      </c>
      <c r="J19" s="280">
        <f>I19*3.2808399*0.09290304</f>
        <v>2.1939250033347664</v>
      </c>
      <c r="K19" s="280">
        <f>L19*3.2808399*0.4535924</f>
        <v>174.11519317804093</v>
      </c>
      <c r="L19">
        <v>117</v>
      </c>
    </row>
    <row r="20" spans="2:12" x14ac:dyDescent="0.2">
      <c r="B20" s="18" t="s">
        <v>1143</v>
      </c>
      <c r="C20" s="20">
        <v>14</v>
      </c>
      <c r="D20" s="19">
        <v>0.6875</v>
      </c>
      <c r="E20" s="20">
        <v>14.75</v>
      </c>
      <c r="F20" s="19">
        <v>0.6875</v>
      </c>
      <c r="G20" s="19">
        <v>1.375</v>
      </c>
      <c r="H20" s="19">
        <v>1</v>
      </c>
      <c r="I20" s="136">
        <f>((C20-(D20*2))*2+(E20*4)+(F20*4)-(D20*2))*12/144</f>
        <v>7.135416666666667</v>
      </c>
      <c r="J20" s="281">
        <f t="shared" ref="J20:J37" si="0">I20*3.2808399*0.09290304</f>
        <v>2.1748750033058104</v>
      </c>
      <c r="K20" s="281">
        <f t="shared" ref="K20:K37" si="1">L20*3.2808399*0.4535924</f>
        <v>151.79273251418954</v>
      </c>
      <c r="L20">
        <v>102</v>
      </c>
    </row>
    <row r="21" spans="2:12" x14ac:dyDescent="0.2">
      <c r="B21" s="131" t="s">
        <v>1144</v>
      </c>
      <c r="C21" s="134">
        <v>13.875</v>
      </c>
      <c r="D21" s="133">
        <v>0.625</v>
      </c>
      <c r="E21" s="134">
        <v>14.75</v>
      </c>
      <c r="F21" s="133">
        <v>0.625</v>
      </c>
      <c r="G21" s="133">
        <v>1.3125</v>
      </c>
      <c r="H21" s="133">
        <v>0.9375</v>
      </c>
      <c r="I21" s="123">
        <f>((C21-(D21*2))*2+(E21*4)+(F21*4)-(D21*2))*12/144</f>
        <v>7.125</v>
      </c>
      <c r="J21" s="281">
        <f t="shared" si="0"/>
        <v>2.1717000033009839</v>
      </c>
      <c r="K21" s="281">
        <f t="shared" si="1"/>
        <v>132.44659993885165</v>
      </c>
      <c r="L21">
        <v>89</v>
      </c>
    </row>
    <row r="22" spans="2:12" x14ac:dyDescent="0.2">
      <c r="B22" s="18" t="s">
        <v>1145</v>
      </c>
      <c r="C22" s="22">
        <v>13.625</v>
      </c>
      <c r="D22" s="21">
        <v>0.5</v>
      </c>
      <c r="E22" s="22">
        <v>14.625</v>
      </c>
      <c r="F22" s="21">
        <v>0.5</v>
      </c>
      <c r="G22" s="21">
        <v>1.1875</v>
      </c>
      <c r="H22" s="21">
        <v>0.875</v>
      </c>
      <c r="I22" s="320">
        <f>((C22-(D22*2))*2+(E22*4)+(F22*4)-(D22*2))*12/144</f>
        <v>7.0625</v>
      </c>
      <c r="J22" s="340">
        <f t="shared" si="0"/>
        <v>2.1526500032720284</v>
      </c>
      <c r="K22" s="281">
        <f t="shared" si="1"/>
        <v>108.63597523074348</v>
      </c>
      <c r="L22">
        <v>73</v>
      </c>
    </row>
    <row r="23" spans="2:12" x14ac:dyDescent="0.2">
      <c r="B23" s="351"/>
      <c r="C23" s="322"/>
      <c r="D23" s="322"/>
      <c r="E23" s="322"/>
      <c r="F23" s="322"/>
      <c r="G23" s="322"/>
      <c r="H23" s="322"/>
      <c r="I23" s="323"/>
      <c r="J23" s="324"/>
      <c r="K23" s="341"/>
    </row>
    <row r="24" spans="2:12" x14ac:dyDescent="0.2">
      <c r="B24" s="18" t="s">
        <v>1146</v>
      </c>
      <c r="C24" s="160">
        <v>13.125</v>
      </c>
      <c r="D24" s="135">
        <v>0.75</v>
      </c>
      <c r="E24" s="160">
        <v>13.25</v>
      </c>
      <c r="F24" s="135">
        <v>0.75</v>
      </c>
      <c r="G24" s="135">
        <v>1.4375</v>
      </c>
      <c r="H24" s="135">
        <v>1</v>
      </c>
      <c r="I24" s="123">
        <f>((C24-(D24*2))*2+(E24*4)+(F24*4)-(D24*2))*12/144</f>
        <v>6.479166666666667</v>
      </c>
      <c r="J24" s="281">
        <f t="shared" si="0"/>
        <v>1.9748500030017724</v>
      </c>
      <c r="K24" s="281">
        <f t="shared" si="1"/>
        <v>148.81640442567601</v>
      </c>
      <c r="L24">
        <v>100</v>
      </c>
    </row>
    <row r="25" spans="2:12" x14ac:dyDescent="0.2">
      <c r="B25" s="131" t="s">
        <v>1147</v>
      </c>
      <c r="C25" s="134">
        <v>13</v>
      </c>
      <c r="D25" s="133">
        <v>0.6875</v>
      </c>
      <c r="E25" s="134">
        <v>13.125</v>
      </c>
      <c r="F25" s="133">
        <v>0.6875</v>
      </c>
      <c r="G25" s="133">
        <v>1.375</v>
      </c>
      <c r="H25" s="133">
        <v>0.9375</v>
      </c>
      <c r="I25" s="123">
        <f>((C25-(D25*2))*2+(E25*4)+(F25*4)-(D25*2))*12/144</f>
        <v>6.427083333333333</v>
      </c>
      <c r="J25" s="281">
        <f t="shared" si="0"/>
        <v>1.958975002977642</v>
      </c>
      <c r="K25" s="281">
        <f t="shared" si="1"/>
        <v>129.47027185033812</v>
      </c>
      <c r="L25">
        <v>87</v>
      </c>
    </row>
    <row r="26" spans="2:12" x14ac:dyDescent="0.2">
      <c r="B26" s="18" t="s">
        <v>1148</v>
      </c>
      <c r="C26" s="20">
        <v>12.75</v>
      </c>
      <c r="D26" s="19">
        <v>0.5625</v>
      </c>
      <c r="E26" s="20">
        <v>13</v>
      </c>
      <c r="F26" s="19">
        <v>0.5625</v>
      </c>
      <c r="G26" s="19">
        <v>1.25</v>
      </c>
      <c r="H26" s="19">
        <v>0.9375</v>
      </c>
      <c r="I26" s="123">
        <f>((C26-(D26*2))*2+(E26*4)+(F26*4)-(D26*2))*12/144</f>
        <v>6.364583333333333</v>
      </c>
      <c r="J26" s="281">
        <f t="shared" si="0"/>
        <v>1.9399250029486861</v>
      </c>
      <c r="K26" s="281">
        <f t="shared" si="1"/>
        <v>108.63597523074348</v>
      </c>
      <c r="L26">
        <v>73</v>
      </c>
    </row>
    <row r="27" spans="2:12" x14ac:dyDescent="0.2">
      <c r="B27" s="131" t="s">
        <v>1149</v>
      </c>
      <c r="C27" s="134">
        <v>12.5</v>
      </c>
      <c r="D27" s="133">
        <v>0.4375</v>
      </c>
      <c r="E27" s="134">
        <v>12.875</v>
      </c>
      <c r="F27" s="133">
        <v>0.4375</v>
      </c>
      <c r="G27" s="133">
        <v>1.125</v>
      </c>
      <c r="H27" s="133">
        <v>0.875</v>
      </c>
      <c r="I27" s="320">
        <f>((C27-(D27*2))*2+(E27*4)+(F27*4)-(D27*2))*12/144</f>
        <v>6.302083333333333</v>
      </c>
      <c r="J27" s="340">
        <f t="shared" si="0"/>
        <v>1.9208750029197301</v>
      </c>
      <c r="K27" s="281">
        <f t="shared" si="1"/>
        <v>89.289842655405593</v>
      </c>
      <c r="L27">
        <v>60</v>
      </c>
    </row>
    <row r="28" spans="2:12" x14ac:dyDescent="0.2">
      <c r="B28" s="314"/>
      <c r="C28" s="322"/>
      <c r="D28" s="322"/>
      <c r="E28" s="322"/>
      <c r="F28" s="322"/>
      <c r="G28" s="322"/>
      <c r="H28" s="322"/>
      <c r="I28" s="323"/>
      <c r="J28" s="324"/>
      <c r="K28" s="341"/>
    </row>
    <row r="29" spans="2:12" x14ac:dyDescent="0.2">
      <c r="B29" s="131" t="s">
        <v>1150</v>
      </c>
      <c r="C29" s="132">
        <v>12.25</v>
      </c>
      <c r="D29" s="133">
        <v>0.6875</v>
      </c>
      <c r="E29" s="134">
        <v>12.25</v>
      </c>
      <c r="F29" s="133">
        <v>0.6875</v>
      </c>
      <c r="G29" s="133">
        <v>1.375</v>
      </c>
      <c r="H29" s="177">
        <v>1</v>
      </c>
      <c r="I29" s="123">
        <f>((C29-(D29*2))*2+(E29*4)+(F29*4)-(D29*2))*12/144</f>
        <v>6.010416666666667</v>
      </c>
      <c r="J29" s="281">
        <f t="shared" si="0"/>
        <v>1.8319750027846022</v>
      </c>
      <c r="K29" s="281">
        <f t="shared" si="1"/>
        <v>125.00577971756785</v>
      </c>
      <c r="L29">
        <v>84</v>
      </c>
    </row>
    <row r="30" spans="2:12" x14ac:dyDescent="0.2">
      <c r="B30" s="18" t="s">
        <v>1151</v>
      </c>
      <c r="C30" s="20">
        <v>12.125</v>
      </c>
      <c r="D30" s="19">
        <v>0.625</v>
      </c>
      <c r="E30" s="20">
        <v>12.25</v>
      </c>
      <c r="F30" s="19">
        <v>0.625</v>
      </c>
      <c r="G30" s="19">
        <v>1.3125</v>
      </c>
      <c r="H30" s="19">
        <v>0.9375</v>
      </c>
      <c r="I30" s="123">
        <f>((C30-(D30*2))*2+(E30*4)+(F30*4)-(D30*2))*12/144</f>
        <v>6</v>
      </c>
      <c r="J30" s="281">
        <f t="shared" si="0"/>
        <v>1.8288000027797762</v>
      </c>
      <c r="K30" s="281">
        <f t="shared" si="1"/>
        <v>110.12413927500025</v>
      </c>
      <c r="L30">
        <v>74</v>
      </c>
    </row>
    <row r="31" spans="2:12" x14ac:dyDescent="0.2">
      <c r="B31" s="18" t="s">
        <v>1152</v>
      </c>
      <c r="C31" s="20">
        <v>12</v>
      </c>
      <c r="D31" s="19">
        <v>0.5</v>
      </c>
      <c r="E31" s="20">
        <v>12.125</v>
      </c>
      <c r="F31" s="19">
        <v>0.5</v>
      </c>
      <c r="G31" s="19">
        <v>1.25</v>
      </c>
      <c r="H31" s="19">
        <v>0.875</v>
      </c>
      <c r="I31" s="123">
        <f>((C31-(D31*2))*2+(E31*4)+(F31*4)-(D31*2))*12/144</f>
        <v>5.958333333333333</v>
      </c>
      <c r="J31" s="281">
        <f t="shared" si="0"/>
        <v>1.8161000027604721</v>
      </c>
      <c r="K31" s="281">
        <f t="shared" si="1"/>
        <v>93.754334788175896</v>
      </c>
      <c r="L31">
        <v>63</v>
      </c>
    </row>
    <row r="32" spans="2:12" x14ac:dyDescent="0.2">
      <c r="B32" s="131" t="s">
        <v>1153</v>
      </c>
      <c r="C32" s="134">
        <v>11.75</v>
      </c>
      <c r="D32" s="133">
        <v>0.4375</v>
      </c>
      <c r="E32" s="134">
        <v>12</v>
      </c>
      <c r="F32" s="133">
        <v>0.4375</v>
      </c>
      <c r="G32" s="133">
        <v>1.125</v>
      </c>
      <c r="H32" s="133">
        <v>0.875</v>
      </c>
      <c r="I32" s="325">
        <f>((C32-(D32*2))*2+(E32*4)+(F32*4)-(D32*2))*12/144</f>
        <v>5.885416666666667</v>
      </c>
      <c r="J32" s="340">
        <f t="shared" si="0"/>
        <v>1.7938750027266903</v>
      </c>
      <c r="K32" s="281">
        <f t="shared" si="1"/>
        <v>78.872694345608281</v>
      </c>
      <c r="L32">
        <v>53</v>
      </c>
    </row>
    <row r="33" spans="2:12" x14ac:dyDescent="0.2">
      <c r="B33" s="314" t="s">
        <v>899</v>
      </c>
      <c r="C33" s="322" t="s">
        <v>899</v>
      </c>
      <c r="D33" s="322" t="s">
        <v>899</v>
      </c>
      <c r="E33" s="322" t="s">
        <v>899</v>
      </c>
      <c r="F33" s="322" t="s">
        <v>899</v>
      </c>
      <c r="G33" s="322" t="s">
        <v>899</v>
      </c>
      <c r="H33" s="322" t="s">
        <v>899</v>
      </c>
      <c r="I33" s="323"/>
      <c r="J33" s="324"/>
      <c r="K33" s="341"/>
    </row>
    <row r="34" spans="2:12" x14ac:dyDescent="0.2">
      <c r="B34" s="18" t="s">
        <v>1154</v>
      </c>
      <c r="C34" s="160">
        <v>10</v>
      </c>
      <c r="D34" s="135">
        <v>0.5625</v>
      </c>
      <c r="E34" s="160">
        <v>10.25</v>
      </c>
      <c r="F34" s="135">
        <v>0.5625</v>
      </c>
      <c r="G34" s="135">
        <v>1.1875</v>
      </c>
      <c r="H34" s="135">
        <v>0.8125</v>
      </c>
      <c r="I34" s="123">
        <f>((C34-(D34*2))*2+(E34*4)+(F34*4)-(D34*2))*12/144</f>
        <v>4.989583333333333</v>
      </c>
      <c r="J34" s="281">
        <f t="shared" si="0"/>
        <v>1.5208250023116541</v>
      </c>
      <c r="K34" s="281">
        <f t="shared" si="1"/>
        <v>84.825350522635318</v>
      </c>
      <c r="L34">
        <v>57</v>
      </c>
    </row>
    <row r="35" spans="2:12" x14ac:dyDescent="0.2">
      <c r="B35" s="131" t="s">
        <v>1155</v>
      </c>
      <c r="C35" s="134">
        <v>9.75</v>
      </c>
      <c r="D35" s="133">
        <v>0.4375</v>
      </c>
      <c r="E35" s="134">
        <v>10.125</v>
      </c>
      <c r="F35" s="133">
        <v>0.4375</v>
      </c>
      <c r="G35" s="133">
        <v>1.0625</v>
      </c>
      <c r="H35" s="133">
        <v>0.75</v>
      </c>
      <c r="I35" s="320">
        <f>((C35-(D35*2))*2+(E35*4)+(F35*4)-(D35*2))*12/144</f>
        <v>4.927083333333333</v>
      </c>
      <c r="J35" s="340">
        <f t="shared" si="0"/>
        <v>1.5017750022826981</v>
      </c>
      <c r="K35" s="281">
        <f t="shared" si="1"/>
        <v>62.502889858783924</v>
      </c>
      <c r="L35">
        <v>42</v>
      </c>
    </row>
    <row r="36" spans="2:12" x14ac:dyDescent="0.2">
      <c r="B36" s="314" t="s">
        <v>899</v>
      </c>
      <c r="C36" s="322" t="s">
        <v>899</v>
      </c>
      <c r="D36" s="322" t="s">
        <v>899</v>
      </c>
      <c r="E36" s="322" t="s">
        <v>899</v>
      </c>
      <c r="F36" s="322" t="s">
        <v>899</v>
      </c>
      <c r="G36" s="322" t="s">
        <v>899</v>
      </c>
      <c r="H36" s="322" t="s">
        <v>899</v>
      </c>
      <c r="I36" s="323"/>
      <c r="J36" s="324"/>
      <c r="K36" s="341"/>
    </row>
    <row r="37" spans="2:12" x14ac:dyDescent="0.2">
      <c r="B37" s="18" t="s">
        <v>1156</v>
      </c>
      <c r="C37" s="20">
        <v>8</v>
      </c>
      <c r="D37" s="19">
        <v>0.4375</v>
      </c>
      <c r="E37" s="20">
        <v>8.125</v>
      </c>
      <c r="F37" s="19">
        <v>0.4375</v>
      </c>
      <c r="G37" s="19">
        <v>0.9375</v>
      </c>
      <c r="H37" s="19">
        <v>0.625</v>
      </c>
      <c r="I37" s="136">
        <f>((C37-(D37*2))*2+(E37*4)+(F37*4)-(D37*2))*12/144</f>
        <v>3.96875</v>
      </c>
      <c r="J37" s="279">
        <f t="shared" si="0"/>
        <v>1.2096750018387061</v>
      </c>
      <c r="K37" s="281">
        <f t="shared" si="1"/>
        <v>53.57390559324336</v>
      </c>
      <c r="L37">
        <v>36</v>
      </c>
    </row>
    <row r="38" spans="2:12" x14ac:dyDescent="0.2">
      <c r="B38" s="167" t="s">
        <v>899</v>
      </c>
      <c r="C38" s="168" t="s">
        <v>899</v>
      </c>
      <c r="D38" s="168" t="s">
        <v>899</v>
      </c>
      <c r="E38" s="168" t="s">
        <v>899</v>
      </c>
      <c r="F38" s="168" t="s">
        <v>899</v>
      </c>
      <c r="G38" s="168" t="s">
        <v>899</v>
      </c>
      <c r="H38" s="168" t="s">
        <v>899</v>
      </c>
      <c r="I38" s="290"/>
    </row>
    <row r="39" spans="2:12" x14ac:dyDescent="0.2">
      <c r="B39" s="167" t="s">
        <v>899</v>
      </c>
      <c r="C39" s="168" t="s">
        <v>899</v>
      </c>
      <c r="D39" s="168" t="s">
        <v>899</v>
      </c>
      <c r="E39" s="168" t="s">
        <v>899</v>
      </c>
      <c r="F39" s="168" t="s">
        <v>899</v>
      </c>
      <c r="G39" s="168" t="s">
        <v>899</v>
      </c>
      <c r="H39" s="168" t="s">
        <v>899</v>
      </c>
      <c r="I39" s="290"/>
    </row>
    <row r="40" spans="2:12" x14ac:dyDescent="0.2">
      <c r="B40" s="167" t="s">
        <v>899</v>
      </c>
      <c r="C40" s="168" t="s">
        <v>899</v>
      </c>
      <c r="D40" s="168" t="s">
        <v>899</v>
      </c>
      <c r="E40" s="168" t="s">
        <v>899</v>
      </c>
      <c r="F40" s="168" t="s">
        <v>899</v>
      </c>
      <c r="G40" s="168" t="s">
        <v>899</v>
      </c>
      <c r="H40" s="168" t="s">
        <v>899</v>
      </c>
      <c r="I40" s="166"/>
    </row>
    <row r="41" spans="2:12" x14ac:dyDescent="0.2">
      <c r="B41" s="167" t="s">
        <v>899</v>
      </c>
      <c r="C41" s="168" t="s">
        <v>899</v>
      </c>
      <c r="D41" s="168" t="s">
        <v>899</v>
      </c>
      <c r="E41" s="168" t="s">
        <v>899</v>
      </c>
      <c r="F41" s="168" t="s">
        <v>899</v>
      </c>
      <c r="G41" s="168" t="s">
        <v>899</v>
      </c>
      <c r="H41" s="168" t="s">
        <v>899</v>
      </c>
      <c r="I41" s="166"/>
    </row>
    <row r="42" spans="2:12" x14ac:dyDescent="0.2">
      <c r="B42" s="167" t="s">
        <v>899</v>
      </c>
      <c r="C42" s="168" t="s">
        <v>899</v>
      </c>
      <c r="D42" s="168" t="s">
        <v>899</v>
      </c>
      <c r="E42" s="168" t="s">
        <v>899</v>
      </c>
      <c r="F42" s="168" t="s">
        <v>899</v>
      </c>
      <c r="G42" s="168" t="s">
        <v>899</v>
      </c>
      <c r="H42" s="168" t="s">
        <v>899</v>
      </c>
      <c r="I42" s="166"/>
    </row>
    <row r="43" spans="2:12" x14ac:dyDescent="0.2">
      <c r="B43" s="167" t="s">
        <v>899</v>
      </c>
      <c r="C43" s="168" t="s">
        <v>899</v>
      </c>
      <c r="D43" s="168" t="s">
        <v>899</v>
      </c>
      <c r="E43" s="168" t="s">
        <v>899</v>
      </c>
      <c r="F43" s="168" t="s">
        <v>899</v>
      </c>
      <c r="G43" s="168" t="s">
        <v>899</v>
      </c>
      <c r="H43" s="168" t="s">
        <v>899</v>
      </c>
      <c r="I43" s="166"/>
    </row>
    <row r="44" spans="2:12" x14ac:dyDescent="0.2">
      <c r="B44" s="167" t="s">
        <v>899</v>
      </c>
      <c r="C44" s="168" t="s">
        <v>899</v>
      </c>
      <c r="D44" s="168" t="s">
        <v>899</v>
      </c>
      <c r="E44" s="168" t="s">
        <v>899</v>
      </c>
      <c r="F44" s="168" t="s">
        <v>899</v>
      </c>
      <c r="G44" s="168" t="s">
        <v>899</v>
      </c>
      <c r="H44" s="168" t="s">
        <v>899</v>
      </c>
      <c r="I44" s="166"/>
    </row>
    <row r="45" spans="2:12" x14ac:dyDescent="0.2">
      <c r="B45" s="167" t="s">
        <v>899</v>
      </c>
      <c r="C45" s="168" t="s">
        <v>899</v>
      </c>
      <c r="D45" s="168" t="s">
        <v>899</v>
      </c>
      <c r="E45" s="168" t="s">
        <v>899</v>
      </c>
      <c r="F45" s="168" t="s">
        <v>899</v>
      </c>
      <c r="G45" s="168" t="s">
        <v>899</v>
      </c>
      <c r="H45" s="168" t="s">
        <v>899</v>
      </c>
      <c r="I45" s="166"/>
    </row>
    <row r="46" spans="2:12" x14ac:dyDescent="0.2">
      <c r="B46" s="167" t="s">
        <v>899</v>
      </c>
      <c r="C46" s="168" t="s">
        <v>899</v>
      </c>
      <c r="D46" s="168" t="s">
        <v>899</v>
      </c>
      <c r="E46" s="168" t="s">
        <v>899</v>
      </c>
      <c r="F46" s="168" t="s">
        <v>899</v>
      </c>
      <c r="G46" s="168" t="s">
        <v>899</v>
      </c>
      <c r="H46" s="168" t="s">
        <v>899</v>
      </c>
      <c r="I46" s="166"/>
    </row>
    <row r="47" spans="2:12" x14ac:dyDescent="0.2">
      <c r="B47" s="167" t="s">
        <v>899</v>
      </c>
      <c r="C47" s="168" t="s">
        <v>899</v>
      </c>
      <c r="D47" s="168" t="s">
        <v>899</v>
      </c>
      <c r="E47" s="168" t="s">
        <v>899</v>
      </c>
      <c r="F47" s="168" t="s">
        <v>899</v>
      </c>
      <c r="G47" s="168" t="s">
        <v>899</v>
      </c>
      <c r="H47" s="168" t="s">
        <v>899</v>
      </c>
      <c r="I47" s="166"/>
    </row>
    <row r="48" spans="2:12" x14ac:dyDescent="0.2">
      <c r="B48" s="167" t="s">
        <v>899</v>
      </c>
      <c r="C48" s="168" t="s">
        <v>899</v>
      </c>
      <c r="D48" s="168" t="s">
        <v>899</v>
      </c>
      <c r="E48" s="168" t="s">
        <v>899</v>
      </c>
      <c r="F48" s="168" t="s">
        <v>899</v>
      </c>
      <c r="G48" s="168" t="s">
        <v>899</v>
      </c>
      <c r="H48" s="168" t="s">
        <v>899</v>
      </c>
      <c r="I48" s="166"/>
    </row>
    <row r="49" spans="2:9" x14ac:dyDescent="0.2">
      <c r="B49" s="167" t="s">
        <v>899</v>
      </c>
      <c r="C49" s="168" t="s">
        <v>899</v>
      </c>
      <c r="D49" s="168" t="s">
        <v>899</v>
      </c>
      <c r="E49" s="168" t="s">
        <v>899</v>
      </c>
      <c r="F49" s="168" t="s">
        <v>899</v>
      </c>
      <c r="G49" s="168" t="s">
        <v>899</v>
      </c>
      <c r="H49" s="168" t="s">
        <v>899</v>
      </c>
      <c r="I49" s="166"/>
    </row>
    <row r="50" spans="2:9" x14ac:dyDescent="0.2">
      <c r="B50" s="167" t="s">
        <v>899</v>
      </c>
      <c r="C50" s="168" t="s">
        <v>899</v>
      </c>
      <c r="D50" s="168" t="s">
        <v>899</v>
      </c>
      <c r="E50" s="168" t="s">
        <v>899</v>
      </c>
      <c r="F50" s="168" t="s">
        <v>899</v>
      </c>
      <c r="G50" s="168" t="s">
        <v>899</v>
      </c>
      <c r="H50" s="168" t="s">
        <v>899</v>
      </c>
      <c r="I50" s="166"/>
    </row>
    <row r="51" spans="2:9" x14ac:dyDescent="0.2">
      <c r="B51" s="166"/>
      <c r="C51" s="166"/>
      <c r="D51" s="166"/>
      <c r="E51" s="166"/>
      <c r="F51" s="166"/>
      <c r="G51" s="166"/>
      <c r="H51" s="166"/>
      <c r="I51" s="166"/>
    </row>
    <row r="52" spans="2:9" x14ac:dyDescent="0.2">
      <c r="B52" s="166"/>
      <c r="C52" s="166"/>
      <c r="D52" s="166"/>
      <c r="E52" s="166"/>
      <c r="F52" s="166"/>
      <c r="G52" s="166"/>
      <c r="H52" s="166"/>
      <c r="I52" s="166"/>
    </row>
    <row r="53" spans="2:9" x14ac:dyDescent="0.2">
      <c r="B53" s="166"/>
      <c r="C53" s="166"/>
      <c r="D53" s="166"/>
      <c r="E53" s="166"/>
      <c r="F53" s="166"/>
      <c r="G53" s="166"/>
      <c r="H53" s="166"/>
      <c r="I53" s="166"/>
    </row>
    <row r="54" spans="2:9" x14ac:dyDescent="0.2">
      <c r="B54" s="166"/>
      <c r="C54" s="166"/>
      <c r="D54" s="166"/>
      <c r="E54" s="166"/>
      <c r="F54" s="166"/>
      <c r="G54" s="166"/>
      <c r="H54" s="166"/>
      <c r="I54" s="166"/>
    </row>
    <row r="55" spans="2:9" x14ac:dyDescent="0.2">
      <c r="B55" s="166"/>
      <c r="C55" s="166"/>
      <c r="D55" s="166"/>
      <c r="E55" s="166"/>
      <c r="F55" s="166"/>
      <c r="G55" s="166"/>
      <c r="H55" s="166"/>
      <c r="I55" s="166"/>
    </row>
    <row r="56" spans="2:9" x14ac:dyDescent="0.2">
      <c r="B56" s="166"/>
      <c r="C56" s="166"/>
      <c r="D56" s="166"/>
      <c r="E56" s="166"/>
      <c r="F56" s="166"/>
      <c r="G56" s="166"/>
      <c r="H56" s="166"/>
      <c r="I56" s="166"/>
    </row>
    <row r="57" spans="2:9" x14ac:dyDescent="0.2">
      <c r="B57" s="166"/>
      <c r="C57" s="166"/>
      <c r="D57" s="166"/>
      <c r="E57" s="166"/>
      <c r="F57" s="166"/>
      <c r="G57" s="166"/>
      <c r="H57" s="166"/>
      <c r="I57" s="166"/>
    </row>
    <row r="58" spans="2:9" x14ac:dyDescent="0.2">
      <c r="B58" s="166"/>
      <c r="C58" s="166"/>
      <c r="D58" s="166"/>
      <c r="E58" s="166"/>
      <c r="F58" s="166"/>
      <c r="G58" s="166"/>
      <c r="H58" s="166"/>
      <c r="I58" s="166"/>
    </row>
    <row r="59" spans="2:9" x14ac:dyDescent="0.2">
      <c r="B59" s="166"/>
      <c r="C59" s="166"/>
      <c r="D59" s="166"/>
      <c r="E59" s="166"/>
      <c r="F59" s="166"/>
      <c r="G59" s="166"/>
      <c r="H59" s="166"/>
      <c r="I59" s="166"/>
    </row>
    <row r="60" spans="2:9" x14ac:dyDescent="0.2">
      <c r="B60" s="166"/>
      <c r="C60" s="166"/>
      <c r="D60" s="166"/>
      <c r="E60" s="166"/>
      <c r="F60" s="166"/>
      <c r="G60" s="166"/>
      <c r="H60" s="166"/>
      <c r="I60" s="166"/>
    </row>
    <row r="61" spans="2:9" x14ac:dyDescent="0.2">
      <c r="B61" s="166"/>
      <c r="C61" s="166"/>
      <c r="D61" s="166"/>
      <c r="E61" s="166"/>
      <c r="F61" s="166"/>
      <c r="G61" s="166"/>
      <c r="H61" s="166"/>
      <c r="I61" s="166"/>
    </row>
    <row r="62" spans="2:9" x14ac:dyDescent="0.2">
      <c r="B62" s="166"/>
      <c r="C62" s="166"/>
      <c r="D62" s="166"/>
      <c r="E62" s="166"/>
      <c r="F62" s="166"/>
      <c r="G62" s="166"/>
      <c r="H62" s="166"/>
      <c r="I62" s="166"/>
    </row>
    <row r="63" spans="2:9" x14ac:dyDescent="0.2">
      <c r="B63" s="166"/>
      <c r="C63" s="166"/>
      <c r="D63" s="166"/>
      <c r="E63" s="166"/>
      <c r="F63" s="166"/>
      <c r="G63" s="166"/>
      <c r="H63" s="166"/>
      <c r="I63" s="166"/>
    </row>
    <row r="64" spans="2:9" x14ac:dyDescent="0.2">
      <c r="B64" s="166"/>
      <c r="C64" s="166"/>
      <c r="D64" s="166"/>
      <c r="E64" s="166"/>
      <c r="F64" s="166"/>
      <c r="G64" s="166"/>
      <c r="H64" s="166"/>
      <c r="I64" s="166"/>
    </row>
    <row r="65" spans="2:9" x14ac:dyDescent="0.2">
      <c r="B65" s="350"/>
      <c r="C65" s="350"/>
      <c r="D65" s="350"/>
      <c r="E65" s="350"/>
      <c r="F65" s="350"/>
      <c r="G65" s="350"/>
      <c r="H65" s="350"/>
      <c r="I65" s="350"/>
    </row>
    <row r="66" spans="2:9" x14ac:dyDescent="0.2">
      <c r="B66" s="350"/>
      <c r="C66" s="350"/>
      <c r="D66" s="350"/>
      <c r="E66" s="350"/>
      <c r="F66" s="350"/>
      <c r="G66" s="350"/>
      <c r="H66" s="350"/>
      <c r="I66" s="350"/>
    </row>
  </sheetData>
  <sheetProtection password="CDD2" sheet="1" objects="1" scenarios="1"/>
  <pageMargins left="0.75" right="0.75" top="1" bottom="1" header="0.5" footer="0.5"/>
  <pageSetup orientation="portrait" verticalDpi="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O62"/>
  <sheetViews>
    <sheetView showGridLines="0" zoomScale="90" workbookViewId="0">
      <pane ySplit="18" topLeftCell="A19" activePane="bottomLeft" state="frozen"/>
      <selection pane="bottomLeft"/>
    </sheetView>
  </sheetViews>
  <sheetFormatPr defaultRowHeight="12.75" x14ac:dyDescent="0.2"/>
  <cols>
    <col min="1" max="1" width="3" customWidth="1"/>
    <col min="2" max="2" width="9.7109375" customWidth="1"/>
    <col min="5" max="5" width="9.5703125" customWidth="1"/>
    <col min="6" max="6" width="13.28515625" customWidth="1"/>
    <col min="10" max="10" width="10.28515625" customWidth="1"/>
    <col min="11" max="11" width="9.5703125" customWidth="1"/>
    <col min="12" max="12" width="12.42578125" customWidth="1"/>
    <col min="13" max="13" width="11.85546875" customWidth="1"/>
    <col min="15" max="15" width="5.85546875" hidden="1" customWidth="1"/>
  </cols>
  <sheetData>
    <row r="1" spans="2:13" x14ac:dyDescent="0.2">
      <c r="B1" s="116">
        <f ca="1">NOW()</f>
        <v>42899.605034722219</v>
      </c>
    </row>
    <row r="2" spans="2:13" ht="15.75" x14ac:dyDescent="0.25">
      <c r="B2" s="117"/>
      <c r="H2" s="35" t="s">
        <v>1732</v>
      </c>
    </row>
    <row r="3" spans="2:13" ht="15.75" x14ac:dyDescent="0.25">
      <c r="H3" s="35"/>
    </row>
    <row r="4" spans="2:13" ht="15.75" x14ac:dyDescent="0.25">
      <c r="H4" s="35" t="s">
        <v>1815</v>
      </c>
    </row>
    <row r="5" spans="2:13" ht="15.75" x14ac:dyDescent="0.25">
      <c r="H5" s="35"/>
    </row>
    <row r="6" spans="2:13" ht="18" x14ac:dyDescent="0.25">
      <c r="E6" s="35"/>
      <c r="F6" s="389" t="s">
        <v>1735</v>
      </c>
      <c r="K6" s="35" t="s">
        <v>1733</v>
      </c>
      <c r="M6" s="35"/>
    </row>
    <row r="7" spans="2:13" x14ac:dyDescent="0.2">
      <c r="D7" s="194"/>
    </row>
    <row r="8" spans="2:13" x14ac:dyDescent="0.2">
      <c r="D8" s="194"/>
    </row>
    <row r="9" spans="2:13" ht="23.25" x14ac:dyDescent="0.35">
      <c r="B9" s="193" t="s">
        <v>1191</v>
      </c>
      <c r="K9" s="35" t="s">
        <v>1726</v>
      </c>
      <c r="M9" s="35"/>
    </row>
    <row r="10" spans="2:13" ht="23.25" x14ac:dyDescent="0.35">
      <c r="B10" s="193" t="s">
        <v>1194</v>
      </c>
    </row>
    <row r="11" spans="2:13" ht="15.75" x14ac:dyDescent="0.25">
      <c r="F11" s="35" t="s">
        <v>895</v>
      </c>
    </row>
    <row r="12" spans="2:13" ht="18" x14ac:dyDescent="0.25">
      <c r="F12" s="389" t="s">
        <v>1721</v>
      </c>
    </row>
    <row r="13" spans="2:13" ht="15.75" x14ac:dyDescent="0.25">
      <c r="I13" s="35" t="s">
        <v>1719</v>
      </c>
    </row>
    <row r="14" spans="2:13" ht="15.75" x14ac:dyDescent="0.25">
      <c r="J14" s="29" t="s">
        <v>1729</v>
      </c>
    </row>
    <row r="16" spans="2:13" ht="13.5" thickBot="1" x14ac:dyDescent="0.25"/>
    <row r="17" spans="2:15" ht="15.75" x14ac:dyDescent="0.25">
      <c r="B17" s="370" t="s">
        <v>1158</v>
      </c>
      <c r="C17" s="371" t="s">
        <v>895</v>
      </c>
      <c r="D17" s="371" t="s">
        <v>905</v>
      </c>
      <c r="E17" s="371" t="s">
        <v>907</v>
      </c>
      <c r="F17" s="371" t="s">
        <v>1190</v>
      </c>
      <c r="G17" s="372" t="s">
        <v>909</v>
      </c>
      <c r="H17" s="386" t="s">
        <v>1111</v>
      </c>
      <c r="I17" s="386" t="s">
        <v>1159</v>
      </c>
      <c r="J17" s="387" t="s">
        <v>896</v>
      </c>
      <c r="K17" s="386" t="s">
        <v>1096</v>
      </c>
      <c r="L17" s="374" t="s">
        <v>1563</v>
      </c>
      <c r="M17" s="374" t="s">
        <v>1792</v>
      </c>
      <c r="N17" s="374" t="s">
        <v>1484</v>
      </c>
    </row>
    <row r="18" spans="2:15" ht="16.5" thickBot="1" x14ac:dyDescent="0.3">
      <c r="B18" s="375" t="s">
        <v>894</v>
      </c>
      <c r="C18" s="376" t="s">
        <v>904</v>
      </c>
      <c r="D18" s="376" t="s">
        <v>906</v>
      </c>
      <c r="E18" s="376" t="s">
        <v>1095</v>
      </c>
      <c r="F18" s="376" t="s">
        <v>941</v>
      </c>
      <c r="G18" s="378"/>
      <c r="H18" s="378"/>
      <c r="I18" s="378" t="s">
        <v>1101</v>
      </c>
      <c r="J18" s="388" t="s">
        <v>897</v>
      </c>
      <c r="K18" s="378" t="s">
        <v>897</v>
      </c>
      <c r="L18" s="379" t="s">
        <v>1564</v>
      </c>
      <c r="M18" s="381" t="s">
        <v>1793</v>
      </c>
      <c r="N18" s="381" t="s">
        <v>1813</v>
      </c>
    </row>
    <row r="19" spans="2:15" x14ac:dyDescent="0.2">
      <c r="B19" s="131" t="s">
        <v>1160</v>
      </c>
      <c r="C19" s="134">
        <v>15</v>
      </c>
      <c r="D19" s="133">
        <v>0.6875</v>
      </c>
      <c r="E19" s="134">
        <v>3.75</v>
      </c>
      <c r="F19" s="133">
        <v>0.625</v>
      </c>
      <c r="G19" s="179">
        <v>1.4375</v>
      </c>
      <c r="H19" s="186">
        <v>0.625</v>
      </c>
      <c r="I19" s="134">
        <v>1</v>
      </c>
      <c r="J19" s="134">
        <v>2.25</v>
      </c>
      <c r="K19" s="133">
        <v>2.75</v>
      </c>
      <c r="L19" s="180">
        <f>(C19*2-F19*2+(E19*4)-(D19*2))*12/144</f>
        <v>3.53125</v>
      </c>
      <c r="M19" s="280">
        <f>L19*3.2808399*0.09290304</f>
        <v>1.0763250016360142</v>
      </c>
      <c r="N19" s="280">
        <f>O19*3.2808399*0.4535924</f>
        <v>74.408202212838006</v>
      </c>
      <c r="O19">
        <v>50</v>
      </c>
    </row>
    <row r="20" spans="2:15" x14ac:dyDescent="0.2">
      <c r="B20" s="18" t="s">
        <v>1161</v>
      </c>
      <c r="C20" s="20">
        <v>15</v>
      </c>
      <c r="D20" s="19">
        <v>0.5</v>
      </c>
      <c r="E20" s="20">
        <v>3.5</v>
      </c>
      <c r="F20" s="19">
        <v>0.625</v>
      </c>
      <c r="G20" s="19">
        <v>1.4375</v>
      </c>
      <c r="H20" s="19">
        <v>0.625</v>
      </c>
      <c r="I20" s="20">
        <v>1</v>
      </c>
      <c r="J20" s="20">
        <v>2</v>
      </c>
      <c r="K20" s="19">
        <v>2.75</v>
      </c>
      <c r="L20" s="123">
        <f>(C20*2-F20*2+(E20*4)-(D20*2))*12/144</f>
        <v>3.4791666666666665</v>
      </c>
      <c r="M20" s="281">
        <f t="shared" ref="M20:M56" si="0">L20*3.2808399*0.09290304</f>
        <v>1.0604500016118841</v>
      </c>
      <c r="N20" s="281">
        <f t="shared" ref="N20:N56" si="1">O20*3.2808399*0.4535924</f>
        <v>59.526561770270405</v>
      </c>
      <c r="O20">
        <v>40</v>
      </c>
    </row>
    <row r="21" spans="2:15" x14ac:dyDescent="0.2">
      <c r="B21" s="131" t="s">
        <v>1162</v>
      </c>
      <c r="C21" s="134">
        <v>15</v>
      </c>
      <c r="D21" s="133">
        <v>0.375</v>
      </c>
      <c r="E21" s="134">
        <v>3.375</v>
      </c>
      <c r="F21" s="133">
        <v>0.625</v>
      </c>
      <c r="G21" s="133">
        <v>1.4375</v>
      </c>
      <c r="H21" s="133">
        <v>0.625</v>
      </c>
      <c r="I21" s="134">
        <v>1</v>
      </c>
      <c r="J21" s="134">
        <v>2</v>
      </c>
      <c r="K21" s="133">
        <v>2.75</v>
      </c>
      <c r="L21" s="320">
        <f t="shared" ref="L21:L56" si="2">(C21*2-F21*2+(E21*4)-(D21*2))*12/144</f>
        <v>3.4583333333333335</v>
      </c>
      <c r="M21" s="340">
        <f t="shared" si="0"/>
        <v>1.0541000016022322</v>
      </c>
      <c r="N21" s="281">
        <f t="shared" si="1"/>
        <v>50.448761100304168</v>
      </c>
      <c r="O21">
        <v>33.9</v>
      </c>
    </row>
    <row r="22" spans="2:15" x14ac:dyDescent="0.2">
      <c r="B22" s="314"/>
      <c r="C22" s="322" t="s">
        <v>899</v>
      </c>
      <c r="D22" s="322" t="s">
        <v>899</v>
      </c>
      <c r="E22" s="322" t="s">
        <v>899</v>
      </c>
      <c r="F22" s="322" t="s">
        <v>899</v>
      </c>
      <c r="G22" s="322" t="s">
        <v>899</v>
      </c>
      <c r="H22" s="322" t="s">
        <v>899</v>
      </c>
      <c r="I22" s="322"/>
      <c r="J22" s="322" t="s">
        <v>899</v>
      </c>
      <c r="K22" s="322" t="s">
        <v>899</v>
      </c>
      <c r="L22" s="323"/>
      <c r="M22" s="324"/>
      <c r="N22" s="341"/>
    </row>
    <row r="23" spans="2:15" x14ac:dyDescent="0.2">
      <c r="B23" s="131" t="s">
        <v>1163</v>
      </c>
      <c r="C23" s="134">
        <v>12</v>
      </c>
      <c r="D23" s="133">
        <v>0.5</v>
      </c>
      <c r="E23" s="134">
        <v>3.125</v>
      </c>
      <c r="F23" s="133">
        <v>0.5</v>
      </c>
      <c r="G23" s="133">
        <v>1.125</v>
      </c>
      <c r="H23" s="133">
        <v>0.5</v>
      </c>
      <c r="I23" s="134">
        <v>0.875</v>
      </c>
      <c r="J23" s="134">
        <v>1.75</v>
      </c>
      <c r="K23" s="133">
        <v>2.5</v>
      </c>
      <c r="L23" s="123">
        <f t="shared" si="2"/>
        <v>2.875</v>
      </c>
      <c r="M23" s="281">
        <f t="shared" si="0"/>
        <v>0.87630000133197605</v>
      </c>
      <c r="N23" s="281">
        <f t="shared" si="1"/>
        <v>44.644921327702797</v>
      </c>
      <c r="O23">
        <v>30</v>
      </c>
    </row>
    <row r="24" spans="2:15" x14ac:dyDescent="0.2">
      <c r="B24" s="18" t="s">
        <v>1164</v>
      </c>
      <c r="C24" s="20">
        <v>12</v>
      </c>
      <c r="D24" s="19">
        <v>0.375</v>
      </c>
      <c r="E24" s="20">
        <v>3</v>
      </c>
      <c r="F24" s="19">
        <v>0.5</v>
      </c>
      <c r="G24" s="19">
        <v>1.125</v>
      </c>
      <c r="H24" s="19">
        <v>0.5</v>
      </c>
      <c r="I24" s="20">
        <v>0.875</v>
      </c>
      <c r="J24" s="20">
        <v>1.75</v>
      </c>
      <c r="K24" s="19">
        <v>2.5</v>
      </c>
      <c r="L24" s="123">
        <f t="shared" si="2"/>
        <v>2.8541666666666665</v>
      </c>
      <c r="M24" s="281">
        <f t="shared" si="0"/>
        <v>0.86995000132232414</v>
      </c>
      <c r="N24" s="281">
        <f t="shared" si="1"/>
        <v>37.204101106419003</v>
      </c>
      <c r="O24">
        <v>25</v>
      </c>
    </row>
    <row r="25" spans="2:15" x14ac:dyDescent="0.2">
      <c r="B25" s="131" t="s">
        <v>1165</v>
      </c>
      <c r="C25" s="134">
        <v>12</v>
      </c>
      <c r="D25" s="133">
        <v>0.3125</v>
      </c>
      <c r="E25" s="134">
        <v>3</v>
      </c>
      <c r="F25" s="133">
        <v>0.5</v>
      </c>
      <c r="G25" s="133">
        <v>1.125</v>
      </c>
      <c r="H25" s="133">
        <v>0.5</v>
      </c>
      <c r="I25" s="134">
        <v>0.875</v>
      </c>
      <c r="J25" s="134">
        <v>1.75</v>
      </c>
      <c r="K25" s="133">
        <v>2.5</v>
      </c>
      <c r="L25" s="320">
        <f t="shared" si="2"/>
        <v>2.8645833333333335</v>
      </c>
      <c r="M25" s="340">
        <f t="shared" si="0"/>
        <v>0.87312500132715021</v>
      </c>
      <c r="N25" s="281">
        <f t="shared" si="1"/>
        <v>30.804995716114934</v>
      </c>
      <c r="O25">
        <v>20.7</v>
      </c>
    </row>
    <row r="26" spans="2:15" x14ac:dyDescent="0.2">
      <c r="B26" s="314" t="s">
        <v>899</v>
      </c>
      <c r="C26" s="322" t="s">
        <v>899</v>
      </c>
      <c r="D26" s="322" t="s">
        <v>899</v>
      </c>
      <c r="E26" s="322" t="s">
        <v>899</v>
      </c>
      <c r="F26" s="322" t="s">
        <v>899</v>
      </c>
      <c r="G26" s="322" t="s">
        <v>899</v>
      </c>
      <c r="H26" s="322" t="s">
        <v>899</v>
      </c>
      <c r="I26" s="322"/>
      <c r="J26" s="322" t="s">
        <v>899</v>
      </c>
      <c r="K26" s="322" t="s">
        <v>899</v>
      </c>
      <c r="L26" s="323"/>
      <c r="M26" s="324"/>
      <c r="N26" s="341"/>
    </row>
    <row r="27" spans="2:15" x14ac:dyDescent="0.2">
      <c r="B27" s="18" t="s">
        <v>1188</v>
      </c>
      <c r="C27" s="135">
        <v>10</v>
      </c>
      <c r="D27" s="160">
        <v>0.6875</v>
      </c>
      <c r="E27" s="135">
        <v>3</v>
      </c>
      <c r="F27" s="135">
        <v>0.4375</v>
      </c>
      <c r="G27" s="135">
        <v>1</v>
      </c>
      <c r="H27" s="160">
        <v>0.4375</v>
      </c>
      <c r="I27" s="160">
        <v>0.75</v>
      </c>
      <c r="J27" s="135">
        <v>1.75</v>
      </c>
      <c r="K27" s="352">
        <v>2.5</v>
      </c>
      <c r="L27" s="123">
        <f t="shared" si="2"/>
        <v>2.4791666666666665</v>
      </c>
      <c r="M27" s="281">
        <f t="shared" si="0"/>
        <v>0.75565000114858805</v>
      </c>
      <c r="N27" s="281">
        <f t="shared" si="1"/>
        <v>44.644921327702797</v>
      </c>
      <c r="O27">
        <v>30</v>
      </c>
    </row>
    <row r="28" spans="2:15" x14ac:dyDescent="0.2">
      <c r="B28" s="131" t="s">
        <v>1166</v>
      </c>
      <c r="C28" s="134">
        <v>10</v>
      </c>
      <c r="D28" s="133">
        <v>0.5</v>
      </c>
      <c r="E28" s="134">
        <v>2.875</v>
      </c>
      <c r="F28" s="133">
        <v>0.4375</v>
      </c>
      <c r="G28" s="133">
        <v>1</v>
      </c>
      <c r="H28" s="133">
        <v>0.4375</v>
      </c>
      <c r="I28" s="134">
        <v>0.75</v>
      </c>
      <c r="J28" s="134">
        <v>1.75</v>
      </c>
      <c r="K28" s="133">
        <v>2.5</v>
      </c>
      <c r="L28" s="123">
        <f t="shared" si="2"/>
        <v>2.46875</v>
      </c>
      <c r="M28" s="281">
        <f t="shared" si="0"/>
        <v>0.75247500114376209</v>
      </c>
      <c r="N28" s="281">
        <f t="shared" si="1"/>
        <v>37.204101106419003</v>
      </c>
      <c r="O28">
        <v>25</v>
      </c>
    </row>
    <row r="29" spans="2:15" x14ac:dyDescent="0.2">
      <c r="B29" s="18" t="s">
        <v>1167</v>
      </c>
      <c r="C29" s="20">
        <v>10</v>
      </c>
      <c r="D29" s="19">
        <v>0.375</v>
      </c>
      <c r="E29" s="20">
        <v>2.75</v>
      </c>
      <c r="F29" s="19">
        <v>0.4375</v>
      </c>
      <c r="G29" s="19">
        <v>1</v>
      </c>
      <c r="H29" s="19">
        <v>0.4375</v>
      </c>
      <c r="I29" s="20">
        <v>0.75</v>
      </c>
      <c r="J29" s="20">
        <v>1.5</v>
      </c>
      <c r="K29" s="19">
        <v>2.5</v>
      </c>
      <c r="L29" s="123">
        <f t="shared" si="2"/>
        <v>2.4479166666666665</v>
      </c>
      <c r="M29" s="281">
        <f t="shared" si="0"/>
        <v>0.74612500113411007</v>
      </c>
      <c r="N29" s="281">
        <f t="shared" si="1"/>
        <v>29.763280885135202</v>
      </c>
      <c r="O29">
        <v>20</v>
      </c>
    </row>
    <row r="30" spans="2:15" x14ac:dyDescent="0.2">
      <c r="B30" s="131" t="s">
        <v>1168</v>
      </c>
      <c r="C30" s="134">
        <v>10</v>
      </c>
      <c r="D30" s="133">
        <v>0.25</v>
      </c>
      <c r="E30" s="134">
        <v>2.625</v>
      </c>
      <c r="F30" s="133">
        <v>0.4375</v>
      </c>
      <c r="G30" s="133">
        <v>1</v>
      </c>
      <c r="H30" s="133">
        <v>0.4375</v>
      </c>
      <c r="I30" s="134">
        <v>0.75</v>
      </c>
      <c r="J30" s="134">
        <v>1.5</v>
      </c>
      <c r="K30" s="133">
        <v>2.5</v>
      </c>
      <c r="L30" s="320">
        <f t="shared" si="2"/>
        <v>2.4270833333333335</v>
      </c>
      <c r="M30" s="340">
        <f t="shared" si="0"/>
        <v>0.73977500112445815</v>
      </c>
      <c r="N30" s="281">
        <f t="shared" si="1"/>
        <v>22.768909877128429</v>
      </c>
      <c r="O30">
        <v>15.3</v>
      </c>
    </row>
    <row r="31" spans="2:15" x14ac:dyDescent="0.2">
      <c r="B31" s="314" t="s">
        <v>899</v>
      </c>
      <c r="C31" s="322" t="s">
        <v>899</v>
      </c>
      <c r="D31" s="322" t="s">
        <v>899</v>
      </c>
      <c r="E31" s="322" t="s">
        <v>899</v>
      </c>
      <c r="F31" s="322" t="s">
        <v>899</v>
      </c>
      <c r="G31" s="322" t="s">
        <v>899</v>
      </c>
      <c r="H31" s="322" t="s">
        <v>899</v>
      </c>
      <c r="I31" s="322"/>
      <c r="J31" s="322" t="s">
        <v>899</v>
      </c>
      <c r="K31" s="322" t="s">
        <v>899</v>
      </c>
      <c r="L31" s="323"/>
      <c r="M31" s="324"/>
      <c r="N31" s="341"/>
    </row>
    <row r="32" spans="2:15" x14ac:dyDescent="0.2">
      <c r="B32" s="131" t="s">
        <v>1169</v>
      </c>
      <c r="C32" s="134">
        <v>9</v>
      </c>
      <c r="D32" s="133">
        <v>0.4375</v>
      </c>
      <c r="E32" s="134">
        <v>2.625</v>
      </c>
      <c r="F32" s="133">
        <v>0.4375</v>
      </c>
      <c r="G32" s="135">
        <v>0.9375</v>
      </c>
      <c r="H32" s="135">
        <v>0.4375</v>
      </c>
      <c r="I32" s="353">
        <v>0.75</v>
      </c>
      <c r="J32" s="134" t="s">
        <v>899</v>
      </c>
      <c r="K32" s="133" t="s">
        <v>899</v>
      </c>
      <c r="L32" s="123">
        <f t="shared" si="2"/>
        <v>2.2291666666666665</v>
      </c>
      <c r="M32" s="281">
        <f t="shared" si="0"/>
        <v>0.67945000103276409</v>
      </c>
      <c r="N32" s="281">
        <f t="shared" si="1"/>
        <v>29.763280885135202</v>
      </c>
      <c r="O32">
        <v>20</v>
      </c>
    </row>
    <row r="33" spans="2:15" x14ac:dyDescent="0.2">
      <c r="B33" s="18" t="s">
        <v>1170</v>
      </c>
      <c r="C33" s="20">
        <v>9</v>
      </c>
      <c r="D33" s="19">
        <v>0.3125</v>
      </c>
      <c r="E33" s="20">
        <v>2.5</v>
      </c>
      <c r="F33" s="19">
        <v>0.4375</v>
      </c>
      <c r="G33" s="19">
        <v>0.9375</v>
      </c>
      <c r="H33" s="19">
        <v>0.4375</v>
      </c>
      <c r="I33" s="20">
        <v>0.75</v>
      </c>
      <c r="J33" s="20">
        <v>1.375</v>
      </c>
      <c r="K33" s="19">
        <v>2.5</v>
      </c>
      <c r="L33" s="123">
        <f t="shared" si="2"/>
        <v>2.2083333333333335</v>
      </c>
      <c r="M33" s="281">
        <f t="shared" si="0"/>
        <v>0.67310000102311218</v>
      </c>
      <c r="N33" s="281">
        <f t="shared" si="1"/>
        <v>22.322460663851398</v>
      </c>
      <c r="O33">
        <v>15</v>
      </c>
    </row>
    <row r="34" spans="2:15" x14ac:dyDescent="0.2">
      <c r="B34" s="131" t="s">
        <v>1171</v>
      </c>
      <c r="C34" s="134">
        <v>9</v>
      </c>
      <c r="D34" s="133">
        <v>0.25</v>
      </c>
      <c r="E34" s="134">
        <v>2.375</v>
      </c>
      <c r="F34" s="133">
        <v>0.4375</v>
      </c>
      <c r="G34" s="133">
        <v>0.9375</v>
      </c>
      <c r="H34" s="133">
        <v>0.4375</v>
      </c>
      <c r="I34" s="134">
        <v>0.75</v>
      </c>
      <c r="J34" s="134">
        <v>1.375</v>
      </c>
      <c r="K34" s="133">
        <v>2.5</v>
      </c>
      <c r="L34" s="320">
        <f t="shared" si="2"/>
        <v>2.1770833333333335</v>
      </c>
      <c r="M34" s="340">
        <f t="shared" si="0"/>
        <v>0.66357500100863409</v>
      </c>
      <c r="N34" s="281">
        <f t="shared" si="1"/>
        <v>19.941398193040587</v>
      </c>
      <c r="O34">
        <v>13.4</v>
      </c>
    </row>
    <row r="35" spans="2:15" x14ac:dyDescent="0.2">
      <c r="B35" s="314" t="s">
        <v>899</v>
      </c>
      <c r="C35" s="322" t="s">
        <v>899</v>
      </c>
      <c r="D35" s="322" t="s">
        <v>899</v>
      </c>
      <c r="E35" s="322" t="s">
        <v>899</v>
      </c>
      <c r="F35" s="322" t="s">
        <v>899</v>
      </c>
      <c r="G35" s="322" t="s">
        <v>899</v>
      </c>
      <c r="H35" s="322" t="s">
        <v>899</v>
      </c>
      <c r="I35" s="322"/>
      <c r="J35" s="322" t="s">
        <v>899</v>
      </c>
      <c r="K35" s="322" t="s">
        <v>899</v>
      </c>
      <c r="L35" s="323"/>
      <c r="M35" s="324"/>
      <c r="N35" s="341"/>
    </row>
    <row r="36" spans="2:15" x14ac:dyDescent="0.2">
      <c r="B36" s="131" t="s">
        <v>1172</v>
      </c>
      <c r="C36" s="134">
        <v>8</v>
      </c>
      <c r="D36" s="133">
        <v>0.5</v>
      </c>
      <c r="E36" s="134">
        <v>2.5</v>
      </c>
      <c r="F36" s="133">
        <v>0.375</v>
      </c>
      <c r="G36" s="133">
        <v>0.9375</v>
      </c>
      <c r="H36" s="133">
        <v>0.375</v>
      </c>
      <c r="I36" s="134">
        <v>0.75</v>
      </c>
      <c r="J36" s="134">
        <v>1.5</v>
      </c>
      <c r="K36" s="133">
        <v>2.5</v>
      </c>
      <c r="L36" s="123">
        <f t="shared" si="2"/>
        <v>2.0208333333333335</v>
      </c>
      <c r="M36" s="281">
        <f t="shared" si="0"/>
        <v>0.61595000093624408</v>
      </c>
      <c r="N36" s="281">
        <f t="shared" si="1"/>
        <v>27.903075829814252</v>
      </c>
      <c r="O36">
        <v>18.75</v>
      </c>
    </row>
    <row r="37" spans="2:15" x14ac:dyDescent="0.2">
      <c r="B37" s="18" t="s">
        <v>1173</v>
      </c>
      <c r="C37" s="20">
        <v>8</v>
      </c>
      <c r="D37" s="19">
        <v>0.3125</v>
      </c>
      <c r="E37" s="20">
        <v>2.375</v>
      </c>
      <c r="F37" s="19">
        <v>0.375</v>
      </c>
      <c r="G37" s="19">
        <v>0.9375</v>
      </c>
      <c r="H37" s="19">
        <v>0.375</v>
      </c>
      <c r="I37" s="20">
        <v>0.75</v>
      </c>
      <c r="J37" s="20">
        <v>1.375</v>
      </c>
      <c r="K37" s="19">
        <v>2.5</v>
      </c>
      <c r="L37" s="123">
        <f t="shared" si="2"/>
        <v>2.0104166666666665</v>
      </c>
      <c r="M37" s="281">
        <f t="shared" si="0"/>
        <v>0.61277500093141801</v>
      </c>
      <c r="N37" s="281">
        <f t="shared" si="1"/>
        <v>20.462255608530452</v>
      </c>
      <c r="O37">
        <v>13.75</v>
      </c>
    </row>
    <row r="38" spans="2:15" x14ac:dyDescent="0.2">
      <c r="B38" s="131" t="s">
        <v>1174</v>
      </c>
      <c r="C38" s="134">
        <v>8</v>
      </c>
      <c r="D38" s="133">
        <v>0.25</v>
      </c>
      <c r="E38" s="134">
        <v>2.25</v>
      </c>
      <c r="F38" s="133">
        <v>0.375</v>
      </c>
      <c r="G38" s="133">
        <v>0.9375</v>
      </c>
      <c r="H38" s="133">
        <v>0.375</v>
      </c>
      <c r="I38" s="134">
        <v>0.75</v>
      </c>
      <c r="J38" s="134">
        <v>1.375</v>
      </c>
      <c r="K38" s="133">
        <v>2.5</v>
      </c>
      <c r="L38" s="320">
        <f t="shared" si="2"/>
        <v>1.9791666666666667</v>
      </c>
      <c r="M38" s="340">
        <f t="shared" si="0"/>
        <v>0.60325000091694003</v>
      </c>
      <c r="N38" s="281">
        <f t="shared" si="1"/>
        <v>17.113886508952739</v>
      </c>
      <c r="O38">
        <v>11.5</v>
      </c>
    </row>
    <row r="39" spans="2:15" x14ac:dyDescent="0.2">
      <c r="B39" s="18"/>
      <c r="C39" s="187" t="s">
        <v>899</v>
      </c>
      <c r="D39" s="187" t="s">
        <v>899</v>
      </c>
      <c r="E39" s="187" t="s">
        <v>899</v>
      </c>
      <c r="F39" s="187" t="s">
        <v>899</v>
      </c>
      <c r="G39" s="187" t="s">
        <v>899</v>
      </c>
      <c r="H39" s="187" t="s">
        <v>899</v>
      </c>
      <c r="I39" s="187"/>
      <c r="J39" s="187" t="s">
        <v>899</v>
      </c>
      <c r="K39" s="187" t="s">
        <v>899</v>
      </c>
      <c r="L39" s="338"/>
      <c r="M39" s="339"/>
      <c r="N39" s="334"/>
    </row>
    <row r="40" spans="2:15" x14ac:dyDescent="0.2">
      <c r="B40" s="131" t="s">
        <v>1175</v>
      </c>
      <c r="C40" s="134">
        <v>7</v>
      </c>
      <c r="D40" s="133">
        <v>0.4375</v>
      </c>
      <c r="E40" s="134">
        <v>2.25</v>
      </c>
      <c r="F40" s="133">
        <v>0.375</v>
      </c>
      <c r="G40" s="133">
        <v>0.875</v>
      </c>
      <c r="H40" s="133">
        <v>0.375</v>
      </c>
      <c r="I40" s="134">
        <v>0.625</v>
      </c>
      <c r="J40" s="134">
        <v>1.25</v>
      </c>
      <c r="K40" s="133">
        <v>2.5</v>
      </c>
      <c r="L40" s="123">
        <f t="shared" si="2"/>
        <v>1.78125</v>
      </c>
      <c r="M40" s="281">
        <f t="shared" si="0"/>
        <v>0.54292500082524597</v>
      </c>
      <c r="N40" s="281">
        <f t="shared" si="1"/>
        <v>21.950419652787211</v>
      </c>
      <c r="O40">
        <v>14.75</v>
      </c>
    </row>
    <row r="41" spans="2:15" x14ac:dyDescent="0.2">
      <c r="B41" s="18" t="s">
        <v>1176</v>
      </c>
      <c r="C41" s="20">
        <v>7</v>
      </c>
      <c r="D41" s="19">
        <v>0.3125</v>
      </c>
      <c r="E41" s="20">
        <v>2.25</v>
      </c>
      <c r="F41" s="19">
        <v>0.375</v>
      </c>
      <c r="G41" s="19">
        <v>0.875</v>
      </c>
      <c r="H41" s="19">
        <v>0.375</v>
      </c>
      <c r="I41" s="20">
        <v>0.625</v>
      </c>
      <c r="J41" s="20">
        <v>1.25</v>
      </c>
      <c r="K41" s="19">
        <v>2.5</v>
      </c>
      <c r="L41" s="123">
        <f t="shared" si="2"/>
        <v>1.8020833333333333</v>
      </c>
      <c r="M41" s="281">
        <f t="shared" si="0"/>
        <v>0.549275000834898</v>
      </c>
      <c r="N41" s="281">
        <f t="shared" si="1"/>
        <v>18.230009542145311</v>
      </c>
      <c r="O41">
        <v>12.25</v>
      </c>
    </row>
    <row r="42" spans="2:15" x14ac:dyDescent="0.2">
      <c r="B42" s="131" t="s">
        <v>1177</v>
      </c>
      <c r="C42" s="134">
        <v>7</v>
      </c>
      <c r="D42" s="133">
        <v>0.1875</v>
      </c>
      <c r="E42" s="134">
        <v>2.125</v>
      </c>
      <c r="F42" s="133">
        <v>0.375</v>
      </c>
      <c r="G42" s="133">
        <v>0.875</v>
      </c>
      <c r="H42" s="133">
        <v>0.375</v>
      </c>
      <c r="I42" s="134">
        <v>0.625</v>
      </c>
      <c r="J42" s="134">
        <v>1.25</v>
      </c>
      <c r="K42" s="133">
        <v>2.25</v>
      </c>
      <c r="L42" s="320">
        <f t="shared" si="2"/>
        <v>1.78125</v>
      </c>
      <c r="M42" s="340">
        <f t="shared" si="0"/>
        <v>0.54292500082524597</v>
      </c>
      <c r="N42" s="281">
        <f t="shared" si="1"/>
        <v>14.584007633716249</v>
      </c>
      <c r="O42">
        <v>9.8000000000000007</v>
      </c>
    </row>
    <row r="43" spans="2:15" x14ac:dyDescent="0.2">
      <c r="B43" s="314" t="s">
        <v>899</v>
      </c>
      <c r="C43" s="322" t="s">
        <v>899</v>
      </c>
      <c r="D43" s="322" t="s">
        <v>899</v>
      </c>
      <c r="E43" s="322" t="s">
        <v>899</v>
      </c>
      <c r="F43" s="322" t="s">
        <v>899</v>
      </c>
      <c r="G43" s="322" t="s">
        <v>899</v>
      </c>
      <c r="H43" s="322" t="s">
        <v>899</v>
      </c>
      <c r="I43" s="322"/>
      <c r="J43" s="322" t="s">
        <v>899</v>
      </c>
      <c r="K43" s="322" t="s">
        <v>899</v>
      </c>
      <c r="L43" s="323"/>
      <c r="M43" s="324"/>
      <c r="N43" s="341"/>
    </row>
    <row r="44" spans="2:15" x14ac:dyDescent="0.2">
      <c r="B44" s="131" t="s">
        <v>1178</v>
      </c>
      <c r="C44" s="134">
        <v>6</v>
      </c>
      <c r="D44" s="133">
        <v>0.4375</v>
      </c>
      <c r="E44" s="134">
        <v>2.125</v>
      </c>
      <c r="F44" s="133">
        <v>0.3125</v>
      </c>
      <c r="G44" s="133">
        <v>0.8125</v>
      </c>
      <c r="H44" s="133">
        <v>0.3125</v>
      </c>
      <c r="I44" s="132">
        <v>0.625</v>
      </c>
      <c r="J44" s="134">
        <v>1.375</v>
      </c>
      <c r="K44" s="133">
        <v>2.25</v>
      </c>
      <c r="L44" s="123">
        <f t="shared" si="2"/>
        <v>1.5833333333333333</v>
      </c>
      <c r="M44" s="281">
        <f t="shared" si="0"/>
        <v>0.48260000073355197</v>
      </c>
      <c r="N44" s="281">
        <f t="shared" si="1"/>
        <v>19.346132575337883</v>
      </c>
      <c r="O44">
        <v>13</v>
      </c>
    </row>
    <row r="45" spans="2:15" x14ac:dyDescent="0.2">
      <c r="B45" s="18" t="s">
        <v>1179</v>
      </c>
      <c r="C45" s="20">
        <v>6</v>
      </c>
      <c r="D45" s="19">
        <v>0.3125</v>
      </c>
      <c r="E45" s="20">
        <v>2</v>
      </c>
      <c r="F45" s="19">
        <v>0.3125</v>
      </c>
      <c r="G45" s="19">
        <v>0.8125</v>
      </c>
      <c r="H45" s="19">
        <v>0.375</v>
      </c>
      <c r="I45" s="20">
        <v>0.625</v>
      </c>
      <c r="J45" s="20">
        <v>1.125</v>
      </c>
      <c r="K45" s="19">
        <v>2.25</v>
      </c>
      <c r="L45" s="123">
        <f t="shared" si="2"/>
        <v>1.5625</v>
      </c>
      <c r="M45" s="281">
        <f t="shared" si="0"/>
        <v>0.47625000072390006</v>
      </c>
      <c r="N45" s="281">
        <f t="shared" si="1"/>
        <v>15.625722464695981</v>
      </c>
      <c r="O45">
        <v>10.5</v>
      </c>
    </row>
    <row r="46" spans="2:15" x14ac:dyDescent="0.2">
      <c r="B46" s="131" t="s">
        <v>1180</v>
      </c>
      <c r="C46" s="134">
        <v>6</v>
      </c>
      <c r="D46" s="133">
        <v>0.1875</v>
      </c>
      <c r="E46" s="134">
        <v>1.875</v>
      </c>
      <c r="F46" s="133">
        <v>0.3125</v>
      </c>
      <c r="G46" s="133">
        <v>0.8125</v>
      </c>
      <c r="H46" s="133">
        <v>0.3125</v>
      </c>
      <c r="I46" s="134">
        <v>0.625</v>
      </c>
      <c r="J46" s="134">
        <v>1.125</v>
      </c>
      <c r="K46" s="133">
        <v>2.25</v>
      </c>
      <c r="L46" s="320">
        <f t="shared" si="2"/>
        <v>1.5416666666666667</v>
      </c>
      <c r="M46" s="340">
        <f t="shared" si="0"/>
        <v>0.46990000071424809</v>
      </c>
      <c r="N46" s="281">
        <f t="shared" si="1"/>
        <v>12.202945162905433</v>
      </c>
      <c r="O46">
        <v>8.1999999999999993</v>
      </c>
    </row>
    <row r="47" spans="2:15" x14ac:dyDescent="0.2">
      <c r="B47" s="314" t="s">
        <v>899</v>
      </c>
      <c r="C47" s="322" t="s">
        <v>899</v>
      </c>
      <c r="D47" s="322" t="s">
        <v>899</v>
      </c>
      <c r="E47" s="322" t="s">
        <v>899</v>
      </c>
      <c r="F47" s="322" t="s">
        <v>899</v>
      </c>
      <c r="G47" s="322" t="s">
        <v>899</v>
      </c>
      <c r="H47" s="322" t="s">
        <v>899</v>
      </c>
      <c r="I47" s="322"/>
      <c r="J47" s="322" t="s">
        <v>899</v>
      </c>
      <c r="K47" s="322" t="s">
        <v>899</v>
      </c>
      <c r="L47" s="323"/>
      <c r="M47" s="324"/>
      <c r="N47" s="341"/>
    </row>
    <row r="48" spans="2:15" x14ac:dyDescent="0.2">
      <c r="B48" s="131" t="s">
        <v>1181</v>
      </c>
      <c r="C48" s="134">
        <v>5</v>
      </c>
      <c r="D48" s="133">
        <v>0.3125</v>
      </c>
      <c r="E48" s="134">
        <v>1.875</v>
      </c>
      <c r="F48" s="133">
        <v>0.3125</v>
      </c>
      <c r="G48" s="133">
        <v>0.75</v>
      </c>
      <c r="H48" s="133">
        <v>0.3125</v>
      </c>
      <c r="I48" s="134">
        <v>0.625</v>
      </c>
      <c r="J48" s="134">
        <v>1.125</v>
      </c>
      <c r="K48" s="133">
        <v>2.25</v>
      </c>
      <c r="L48" s="123">
        <f t="shared" si="2"/>
        <v>1.3541666666666667</v>
      </c>
      <c r="M48" s="281">
        <f t="shared" si="0"/>
        <v>0.4127500006273801</v>
      </c>
      <c r="N48" s="281">
        <f t="shared" si="1"/>
        <v>13.39347639831084</v>
      </c>
      <c r="O48">
        <v>9</v>
      </c>
    </row>
    <row r="49" spans="2:15" x14ac:dyDescent="0.2">
      <c r="B49" s="18" t="s">
        <v>1182</v>
      </c>
      <c r="C49" s="22">
        <v>5</v>
      </c>
      <c r="D49" s="21">
        <v>0.1875</v>
      </c>
      <c r="E49" s="22">
        <v>1.75</v>
      </c>
      <c r="F49" s="21">
        <v>0.3125</v>
      </c>
      <c r="G49" s="21">
        <v>0.75</v>
      </c>
      <c r="H49" s="354" t="s">
        <v>1103</v>
      </c>
      <c r="I49" s="355" t="s">
        <v>1103</v>
      </c>
      <c r="J49" s="355" t="s">
        <v>1103</v>
      </c>
      <c r="K49" s="21">
        <v>2.25</v>
      </c>
      <c r="L49" s="320">
        <f t="shared" si="2"/>
        <v>1.3333333333333333</v>
      </c>
      <c r="M49" s="340">
        <f t="shared" si="0"/>
        <v>0.40640000061772796</v>
      </c>
      <c r="N49" s="281">
        <f t="shared" si="1"/>
        <v>9.9706990965202937</v>
      </c>
      <c r="O49">
        <v>6.7</v>
      </c>
    </row>
    <row r="50" spans="2:15" x14ac:dyDescent="0.2">
      <c r="B50" s="318" t="s">
        <v>899</v>
      </c>
      <c r="C50" s="322" t="s">
        <v>899</v>
      </c>
      <c r="D50" s="322" t="s">
        <v>899</v>
      </c>
      <c r="E50" s="322" t="s">
        <v>899</v>
      </c>
      <c r="F50" s="322" t="s">
        <v>899</v>
      </c>
      <c r="G50" s="322" t="s">
        <v>899</v>
      </c>
      <c r="H50" s="322" t="s">
        <v>899</v>
      </c>
      <c r="I50" s="322"/>
      <c r="J50" s="322" t="s">
        <v>899</v>
      </c>
      <c r="K50" s="322" t="s">
        <v>899</v>
      </c>
      <c r="L50" s="323"/>
      <c r="M50" s="324"/>
      <c r="N50" s="341"/>
    </row>
    <row r="51" spans="2:15" x14ac:dyDescent="0.2">
      <c r="B51" s="18" t="s">
        <v>1183</v>
      </c>
      <c r="C51" s="160">
        <v>4</v>
      </c>
      <c r="D51" s="135">
        <v>0.3125</v>
      </c>
      <c r="E51" s="160">
        <v>1.75</v>
      </c>
      <c r="F51" s="135">
        <v>0.3125</v>
      </c>
      <c r="G51" s="135">
        <v>0.6875</v>
      </c>
      <c r="H51" s="135">
        <v>0.3125</v>
      </c>
      <c r="I51" s="160">
        <v>0.625</v>
      </c>
      <c r="J51" s="160">
        <v>1</v>
      </c>
      <c r="K51" s="135">
        <v>2</v>
      </c>
      <c r="L51" s="123">
        <f t="shared" si="2"/>
        <v>1.1458333333333333</v>
      </c>
      <c r="M51" s="281">
        <f t="shared" si="0"/>
        <v>0.34925000053086003</v>
      </c>
      <c r="N51" s="281">
        <f t="shared" si="1"/>
        <v>10.78918932086151</v>
      </c>
      <c r="O51">
        <v>7.25</v>
      </c>
    </row>
    <row r="52" spans="2:15" x14ac:dyDescent="0.2">
      <c r="B52" s="131" t="s">
        <v>1184</v>
      </c>
      <c r="C52" s="134">
        <v>4</v>
      </c>
      <c r="D52" s="133">
        <v>0.1875</v>
      </c>
      <c r="E52" s="134">
        <v>1.625</v>
      </c>
      <c r="F52" s="133">
        <v>0.3125</v>
      </c>
      <c r="G52" s="133">
        <v>0.6875</v>
      </c>
      <c r="H52" s="175" t="s">
        <v>1103</v>
      </c>
      <c r="I52" s="188" t="s">
        <v>1103</v>
      </c>
      <c r="J52" s="188" t="s">
        <v>1103</v>
      </c>
      <c r="K52" s="133">
        <v>2</v>
      </c>
      <c r="L52" s="320">
        <f t="shared" si="2"/>
        <v>1.125</v>
      </c>
      <c r="M52" s="340">
        <f t="shared" si="0"/>
        <v>0.34290000052120806</v>
      </c>
      <c r="N52" s="281">
        <f t="shared" si="1"/>
        <v>8.0360858389865051</v>
      </c>
      <c r="O52">
        <v>5.4</v>
      </c>
    </row>
    <row r="53" spans="2:15" x14ac:dyDescent="0.2">
      <c r="B53" s="314" t="s">
        <v>899</v>
      </c>
      <c r="C53" s="322" t="s">
        <v>899</v>
      </c>
      <c r="D53" s="322" t="s">
        <v>899</v>
      </c>
      <c r="E53" s="322" t="s">
        <v>899</v>
      </c>
      <c r="F53" s="322" t="s">
        <v>899</v>
      </c>
      <c r="G53" s="322" t="s">
        <v>899</v>
      </c>
      <c r="H53" s="322" t="s">
        <v>899</v>
      </c>
      <c r="I53" s="322"/>
      <c r="J53" s="322" t="s">
        <v>899</v>
      </c>
      <c r="K53" s="322" t="s">
        <v>899</v>
      </c>
      <c r="L53" s="323"/>
      <c r="M53" s="324"/>
      <c r="N53" s="341"/>
    </row>
    <row r="54" spans="2:15" x14ac:dyDescent="0.2">
      <c r="B54" s="131" t="s">
        <v>1185</v>
      </c>
      <c r="C54" s="134">
        <v>3</v>
      </c>
      <c r="D54" s="133">
        <v>0.375</v>
      </c>
      <c r="E54" s="134">
        <v>1.625</v>
      </c>
      <c r="F54" s="133">
        <v>0.25</v>
      </c>
      <c r="G54" s="133">
        <v>0.6875</v>
      </c>
      <c r="H54" s="175" t="s">
        <v>1103</v>
      </c>
      <c r="I54" s="188" t="s">
        <v>1103</v>
      </c>
      <c r="J54" s="188" t="s">
        <v>1103</v>
      </c>
      <c r="K54" s="175" t="s">
        <v>1103</v>
      </c>
      <c r="L54" s="123">
        <f t="shared" si="2"/>
        <v>0.9375</v>
      </c>
      <c r="M54" s="281">
        <f t="shared" si="0"/>
        <v>0.28575000043434001</v>
      </c>
      <c r="N54" s="281">
        <f t="shared" si="1"/>
        <v>8.92898426554056</v>
      </c>
      <c r="O54">
        <v>6</v>
      </c>
    </row>
    <row r="55" spans="2:15" x14ac:dyDescent="0.2">
      <c r="B55" s="18" t="s">
        <v>1186</v>
      </c>
      <c r="C55" s="20">
        <v>3</v>
      </c>
      <c r="D55" s="19">
        <v>0.25</v>
      </c>
      <c r="E55" s="20">
        <v>1.5</v>
      </c>
      <c r="F55" s="19">
        <v>0.25</v>
      </c>
      <c r="G55" s="19">
        <v>0.6875</v>
      </c>
      <c r="H55" s="23" t="s">
        <v>1103</v>
      </c>
      <c r="I55" s="24" t="s">
        <v>1103</v>
      </c>
      <c r="J55" s="24" t="s">
        <v>1103</v>
      </c>
      <c r="K55" s="23" t="s">
        <v>1103</v>
      </c>
      <c r="L55" s="123">
        <f t="shared" si="2"/>
        <v>0.91666666666666663</v>
      </c>
      <c r="M55" s="281">
        <f t="shared" si="0"/>
        <v>0.27940000042468799</v>
      </c>
      <c r="N55" s="281">
        <f t="shared" si="1"/>
        <v>7.4408202212838006</v>
      </c>
      <c r="O55">
        <v>5</v>
      </c>
    </row>
    <row r="56" spans="2:15" x14ac:dyDescent="0.2">
      <c r="B56" s="131" t="s">
        <v>1187</v>
      </c>
      <c r="C56" s="134">
        <v>3</v>
      </c>
      <c r="D56" s="133">
        <v>0.1875</v>
      </c>
      <c r="E56" s="134">
        <v>1.375</v>
      </c>
      <c r="F56" s="133">
        <v>0.25</v>
      </c>
      <c r="G56" s="133">
        <v>0.6875</v>
      </c>
      <c r="H56" s="176" t="s">
        <v>1103</v>
      </c>
      <c r="I56" s="189" t="s">
        <v>1103</v>
      </c>
      <c r="J56" s="188" t="s">
        <v>1103</v>
      </c>
      <c r="K56" s="175" t="s">
        <v>1103</v>
      </c>
      <c r="L56" s="320">
        <f t="shared" si="2"/>
        <v>0.88541666666666663</v>
      </c>
      <c r="M56" s="340">
        <f t="shared" si="0"/>
        <v>0.26987500041021001</v>
      </c>
      <c r="N56" s="281">
        <f t="shared" si="1"/>
        <v>6.1014725814527164</v>
      </c>
      <c r="O56">
        <v>4.0999999999999996</v>
      </c>
    </row>
    <row r="57" spans="2:15" x14ac:dyDescent="0.2">
      <c r="B57" s="314" t="s">
        <v>899</v>
      </c>
      <c r="C57" s="322" t="s">
        <v>899</v>
      </c>
      <c r="D57" s="322" t="s">
        <v>1189</v>
      </c>
      <c r="E57" s="322" t="s">
        <v>899</v>
      </c>
      <c r="F57" s="322" t="s">
        <v>899</v>
      </c>
      <c r="G57" s="322" t="s">
        <v>899</v>
      </c>
      <c r="H57" s="322" t="s">
        <v>899</v>
      </c>
      <c r="I57" s="322"/>
      <c r="J57" s="322" t="s">
        <v>899</v>
      </c>
      <c r="K57" s="322" t="s">
        <v>899</v>
      </c>
      <c r="L57" s="323"/>
      <c r="M57" s="324"/>
      <c r="N57" s="341"/>
    </row>
    <row r="58" spans="2:15" x14ac:dyDescent="0.2">
      <c r="B58" s="137"/>
      <c r="C58" s="137"/>
      <c r="D58" s="137"/>
      <c r="E58" s="137"/>
      <c r="F58" s="137"/>
      <c r="G58" s="137"/>
      <c r="H58" s="137"/>
      <c r="I58" s="137"/>
      <c r="J58" s="137"/>
      <c r="K58" s="137"/>
      <c r="L58" s="137"/>
    </row>
    <row r="59" spans="2:15" x14ac:dyDescent="0.2">
      <c r="B59" s="137"/>
      <c r="C59" s="137"/>
      <c r="D59" s="137"/>
      <c r="E59" s="137"/>
      <c r="F59" s="137"/>
      <c r="G59" s="137"/>
      <c r="H59" s="137"/>
      <c r="I59" s="137"/>
      <c r="J59" s="137"/>
      <c r="K59" s="137"/>
      <c r="L59" s="137"/>
    </row>
    <row r="60" spans="2:15" x14ac:dyDescent="0.2">
      <c r="B60" s="137"/>
      <c r="C60" s="137"/>
      <c r="D60" s="137"/>
      <c r="E60" s="137"/>
      <c r="F60" s="137"/>
      <c r="G60" s="137"/>
      <c r="H60" s="137"/>
      <c r="I60" s="137"/>
      <c r="J60" s="137"/>
      <c r="K60" s="137"/>
      <c r="L60" s="137"/>
    </row>
    <row r="61" spans="2:15" x14ac:dyDescent="0.2">
      <c r="B61" s="137"/>
      <c r="C61" s="137"/>
      <c r="D61" s="137"/>
      <c r="E61" s="137"/>
      <c r="F61" s="137"/>
      <c r="G61" s="137"/>
      <c r="H61" s="137"/>
      <c r="I61" s="137"/>
      <c r="J61" s="137"/>
      <c r="K61" s="137"/>
      <c r="L61" s="137"/>
    </row>
    <row r="62" spans="2:15" x14ac:dyDescent="0.2">
      <c r="B62" s="137"/>
      <c r="C62" s="137"/>
      <c r="D62" s="137"/>
      <c r="E62" s="137"/>
      <c r="F62" s="137"/>
      <c r="G62" s="137"/>
      <c r="H62" s="137"/>
      <c r="I62" s="137"/>
      <c r="J62" s="137"/>
      <c r="K62" s="137"/>
      <c r="L62" s="137"/>
    </row>
  </sheetData>
  <sheetProtection password="CDD2" sheet="1" objects="1" scenarios="1"/>
  <pageMargins left="0.75" right="0.75" top="1" bottom="1" header="0.5" footer="0.5"/>
  <pageSetup orientation="portrait" verticalDpi="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1:O78"/>
  <sheetViews>
    <sheetView showGridLines="0" zoomScale="90" workbookViewId="0">
      <pane ySplit="18" topLeftCell="A52" activePane="bottomLeft" state="frozen"/>
      <selection pane="bottomLeft"/>
    </sheetView>
  </sheetViews>
  <sheetFormatPr defaultRowHeight="12.75" x14ac:dyDescent="0.2"/>
  <cols>
    <col min="1" max="1" width="3.42578125" customWidth="1"/>
    <col min="2" max="2" width="10.42578125" customWidth="1"/>
    <col min="5" max="5" width="10.42578125" customWidth="1"/>
    <col min="6" max="6" width="12.42578125" customWidth="1"/>
    <col min="7" max="7" width="7.7109375" customWidth="1"/>
    <col min="11" max="11" width="9.5703125" customWidth="1"/>
    <col min="12" max="12" width="12.5703125" customWidth="1"/>
    <col min="13" max="13" width="13.140625" customWidth="1"/>
    <col min="15" max="15" width="5.7109375" hidden="1" customWidth="1"/>
  </cols>
  <sheetData>
    <row r="1" spans="2:11" x14ac:dyDescent="0.2">
      <c r="B1" s="116">
        <f ca="1">NOW()</f>
        <v>42899.605034722219</v>
      </c>
    </row>
    <row r="2" spans="2:11" ht="15.75" x14ac:dyDescent="0.25">
      <c r="B2" s="117"/>
      <c r="H2" s="35" t="s">
        <v>1732</v>
      </c>
    </row>
    <row r="3" spans="2:11" ht="15.75" x14ac:dyDescent="0.25">
      <c r="H3" s="35"/>
    </row>
    <row r="4" spans="2:11" ht="23.25" x14ac:dyDescent="0.35">
      <c r="C4" s="193" t="s">
        <v>1191</v>
      </c>
      <c r="H4" s="35" t="s">
        <v>1731</v>
      </c>
    </row>
    <row r="5" spans="2:11" ht="23.25" x14ac:dyDescent="0.35">
      <c r="C5" s="193" t="s">
        <v>1192</v>
      </c>
      <c r="H5" s="35"/>
    </row>
    <row r="6" spans="2:11" ht="15.75" x14ac:dyDescent="0.25">
      <c r="E6" s="35"/>
      <c r="F6" s="35" t="s">
        <v>1735</v>
      </c>
      <c r="K6" s="35" t="s">
        <v>1733</v>
      </c>
    </row>
    <row r="9" spans="2:11" ht="15.75" x14ac:dyDescent="0.25">
      <c r="K9" s="35" t="s">
        <v>1726</v>
      </c>
    </row>
    <row r="11" spans="2:11" ht="15.75" x14ac:dyDescent="0.25">
      <c r="F11" s="35" t="s">
        <v>895</v>
      </c>
    </row>
    <row r="12" spans="2:11" ht="15.75" x14ac:dyDescent="0.25">
      <c r="F12" s="35" t="s">
        <v>1721</v>
      </c>
    </row>
    <row r="13" spans="2:11" ht="15.75" x14ac:dyDescent="0.25">
      <c r="I13" s="35" t="s">
        <v>1719</v>
      </c>
    </row>
    <row r="14" spans="2:11" ht="15.75" x14ac:dyDescent="0.25">
      <c r="J14" s="29" t="s">
        <v>1729</v>
      </c>
    </row>
    <row r="16" spans="2:11" ht="13.5" thickBot="1" x14ac:dyDescent="0.25">
      <c r="B16" s="17"/>
    </row>
    <row r="17" spans="2:15" ht="15.75" x14ac:dyDescent="0.25">
      <c r="B17" s="370" t="s">
        <v>1158</v>
      </c>
      <c r="C17" s="371" t="s">
        <v>895</v>
      </c>
      <c r="D17" s="371" t="s">
        <v>905</v>
      </c>
      <c r="E17" s="371" t="s">
        <v>907</v>
      </c>
      <c r="F17" s="371" t="s">
        <v>1190</v>
      </c>
      <c r="G17" s="372" t="s">
        <v>909</v>
      </c>
      <c r="H17" s="386" t="s">
        <v>1111</v>
      </c>
      <c r="I17" s="386" t="s">
        <v>1159</v>
      </c>
      <c r="J17" s="387" t="s">
        <v>896</v>
      </c>
      <c r="K17" s="386" t="s">
        <v>1096</v>
      </c>
      <c r="L17" s="374" t="s">
        <v>1563</v>
      </c>
      <c r="M17" s="374" t="s">
        <v>1792</v>
      </c>
      <c r="N17" s="374" t="s">
        <v>1484</v>
      </c>
    </row>
    <row r="18" spans="2:15" ht="16.5" thickBot="1" x14ac:dyDescent="0.3">
      <c r="B18" s="375" t="s">
        <v>894</v>
      </c>
      <c r="C18" s="376" t="s">
        <v>904</v>
      </c>
      <c r="D18" s="376" t="s">
        <v>906</v>
      </c>
      <c r="E18" s="376" t="s">
        <v>1095</v>
      </c>
      <c r="F18" s="376" t="s">
        <v>941</v>
      </c>
      <c r="G18" s="378"/>
      <c r="H18" s="378"/>
      <c r="I18" s="378" t="s">
        <v>1101</v>
      </c>
      <c r="J18" s="388" t="s">
        <v>897</v>
      </c>
      <c r="K18" s="378" t="s">
        <v>897</v>
      </c>
      <c r="L18" s="379" t="s">
        <v>1564</v>
      </c>
      <c r="M18" s="379" t="s">
        <v>1793</v>
      </c>
      <c r="N18" s="379" t="s">
        <v>1813</v>
      </c>
    </row>
    <row r="19" spans="2:15" x14ac:dyDescent="0.2">
      <c r="B19" s="131" t="s">
        <v>1195</v>
      </c>
      <c r="C19" s="134">
        <v>18</v>
      </c>
      <c r="D19" s="133">
        <v>0.6875</v>
      </c>
      <c r="E19" s="134">
        <v>4.25</v>
      </c>
      <c r="F19" s="133">
        <v>0.625</v>
      </c>
      <c r="G19" s="179">
        <v>1.375</v>
      </c>
      <c r="H19" s="186">
        <v>0.625</v>
      </c>
      <c r="I19" s="134">
        <v>1</v>
      </c>
      <c r="J19" s="134" t="s">
        <v>899</v>
      </c>
      <c r="K19" s="133" t="s">
        <v>899</v>
      </c>
      <c r="L19" s="180">
        <f>(C19*2-F19*2+(E19*4)-(D19*2))*12/144</f>
        <v>4.197916666666667</v>
      </c>
      <c r="M19" s="280">
        <f>L19*3.2808399*0.09290304</f>
        <v>1.2795250019448781</v>
      </c>
      <c r="N19" s="280">
        <f>O19*3.2808399*0.4535924</f>
        <v>86.313514566892081</v>
      </c>
      <c r="O19">
        <v>58</v>
      </c>
    </row>
    <row r="20" spans="2:15" x14ac:dyDescent="0.2">
      <c r="B20" s="18" t="s">
        <v>1196</v>
      </c>
      <c r="C20" s="20">
        <v>18</v>
      </c>
      <c r="D20" s="19">
        <v>0.625</v>
      </c>
      <c r="E20" s="20">
        <v>4.125</v>
      </c>
      <c r="F20" s="19">
        <v>0.625</v>
      </c>
      <c r="G20" s="19">
        <v>1.375</v>
      </c>
      <c r="H20" s="19">
        <v>0.625</v>
      </c>
      <c r="I20" s="20">
        <v>1</v>
      </c>
      <c r="J20" s="20" t="s">
        <v>899</v>
      </c>
      <c r="K20" s="19" t="s">
        <v>899</v>
      </c>
      <c r="L20" s="123">
        <f>(C20*2-F20*2+(E20*4)-(D20*2))*12/144</f>
        <v>4.166666666666667</v>
      </c>
      <c r="M20" s="281">
        <f t="shared" ref="M20:M68" si="0">L20*3.2808399*0.09290304</f>
        <v>1.2700000019304003</v>
      </c>
      <c r="N20" s="281">
        <f t="shared" ref="N20:N68" si="1">O20*3.2808399*0.4535924</f>
        <v>77.235713896925844</v>
      </c>
      <c r="O20">
        <v>51.9</v>
      </c>
    </row>
    <row r="21" spans="2:15" x14ac:dyDescent="0.2">
      <c r="B21" s="131" t="s">
        <v>1197</v>
      </c>
      <c r="C21" s="134">
        <v>18</v>
      </c>
      <c r="D21" s="133">
        <v>0.5</v>
      </c>
      <c r="E21" s="134">
        <v>4</v>
      </c>
      <c r="F21" s="133">
        <v>0.625</v>
      </c>
      <c r="G21" s="133">
        <v>1.375</v>
      </c>
      <c r="H21" s="133">
        <v>0.625</v>
      </c>
      <c r="I21" s="134">
        <v>1</v>
      </c>
      <c r="J21" s="134" t="s">
        <v>899</v>
      </c>
      <c r="K21" s="133" t="s">
        <v>899</v>
      </c>
      <c r="L21" s="123">
        <f>(C21*2-F21*2+(E21*4)-(D21*2))*12/144</f>
        <v>4.145833333333333</v>
      </c>
      <c r="M21" s="281">
        <f t="shared" si="0"/>
        <v>1.2636500019207482</v>
      </c>
      <c r="N21" s="281">
        <f t="shared" si="1"/>
        <v>68.157913226959607</v>
      </c>
      <c r="O21">
        <v>45.8</v>
      </c>
    </row>
    <row r="22" spans="2:15" x14ac:dyDescent="0.2">
      <c r="B22" s="18" t="s">
        <v>1198</v>
      </c>
      <c r="C22" s="22">
        <v>18</v>
      </c>
      <c r="D22" s="21">
        <v>0.4375</v>
      </c>
      <c r="E22" s="22">
        <v>4</v>
      </c>
      <c r="F22" s="21">
        <v>0.625</v>
      </c>
      <c r="G22" s="21">
        <v>1.375</v>
      </c>
      <c r="H22" s="21">
        <v>0.625</v>
      </c>
      <c r="I22" s="22">
        <v>1</v>
      </c>
      <c r="J22" s="22" t="s">
        <v>899</v>
      </c>
      <c r="K22" s="21" t="s">
        <v>899</v>
      </c>
      <c r="L22" s="320">
        <f>(C22*2-F22*2+(E22*4)-(D22*2))*12/144</f>
        <v>4.15625</v>
      </c>
      <c r="M22" s="340">
        <f t="shared" si="0"/>
        <v>1.2668250019255742</v>
      </c>
      <c r="N22" s="281">
        <f t="shared" si="1"/>
        <v>63.544604689763666</v>
      </c>
      <c r="O22">
        <v>42.7</v>
      </c>
    </row>
    <row r="23" spans="2:15" x14ac:dyDescent="0.2">
      <c r="B23" s="318" t="s">
        <v>899</v>
      </c>
      <c r="C23" s="322" t="s">
        <v>899</v>
      </c>
      <c r="D23" s="322" t="s">
        <v>899</v>
      </c>
      <c r="E23" s="322" t="s">
        <v>899</v>
      </c>
      <c r="F23" s="322" t="s">
        <v>899</v>
      </c>
      <c r="G23" s="322" t="s">
        <v>899</v>
      </c>
      <c r="H23" s="322" t="s">
        <v>899</v>
      </c>
      <c r="I23" s="322" t="s">
        <v>899</v>
      </c>
      <c r="J23" s="322" t="s">
        <v>899</v>
      </c>
      <c r="K23" s="322" t="s">
        <v>899</v>
      </c>
      <c r="L23" s="323"/>
      <c r="M23" s="324"/>
      <c r="N23" s="341"/>
    </row>
    <row r="24" spans="2:15" x14ac:dyDescent="0.2">
      <c r="B24" s="18" t="s">
        <v>1199</v>
      </c>
      <c r="C24" s="160">
        <v>13</v>
      </c>
      <c r="D24" s="135">
        <v>0.8125</v>
      </c>
      <c r="E24" s="160">
        <v>4.375</v>
      </c>
      <c r="F24" s="135">
        <v>0.625</v>
      </c>
      <c r="G24" s="135">
        <v>1.375</v>
      </c>
      <c r="H24" s="135">
        <v>0.625</v>
      </c>
      <c r="I24" s="160">
        <v>1</v>
      </c>
      <c r="J24" s="160" t="s">
        <v>899</v>
      </c>
      <c r="K24" s="135" t="s">
        <v>899</v>
      </c>
      <c r="L24" s="123">
        <f>(C24*2-F24*2+(E24*4)-(D24*2))*12/144</f>
        <v>3.3854166666666665</v>
      </c>
      <c r="M24" s="281">
        <f t="shared" si="0"/>
        <v>1.0318750015684501</v>
      </c>
      <c r="N24" s="281">
        <f t="shared" si="1"/>
        <v>74.408202212838006</v>
      </c>
      <c r="O24">
        <v>50</v>
      </c>
    </row>
    <row r="25" spans="2:15" x14ac:dyDescent="0.2">
      <c r="B25" s="131" t="s">
        <v>1200</v>
      </c>
      <c r="C25" s="134">
        <v>13</v>
      </c>
      <c r="D25" s="133">
        <v>0.5625</v>
      </c>
      <c r="E25" s="134">
        <v>4.125</v>
      </c>
      <c r="F25" s="133">
        <v>0.625</v>
      </c>
      <c r="G25" s="133">
        <v>1.375</v>
      </c>
      <c r="H25" s="133">
        <v>0.5625</v>
      </c>
      <c r="I25" s="134">
        <v>1</v>
      </c>
      <c r="J25" s="134" t="s">
        <v>899</v>
      </c>
      <c r="K25" s="133" t="s">
        <v>899</v>
      </c>
      <c r="L25" s="123">
        <f>(C25*2-F25*2+(E25*4)-(D25*2))*12/144</f>
        <v>3.34375</v>
      </c>
      <c r="M25" s="281">
        <f t="shared" si="0"/>
        <v>1.0191750015491461</v>
      </c>
      <c r="N25" s="281">
        <f t="shared" si="1"/>
        <v>59.526561770270405</v>
      </c>
      <c r="O25">
        <v>40</v>
      </c>
    </row>
    <row r="26" spans="2:15" x14ac:dyDescent="0.2">
      <c r="B26" s="18" t="s">
        <v>1201</v>
      </c>
      <c r="C26" s="20">
        <v>13</v>
      </c>
      <c r="D26" s="19">
        <v>0.4375</v>
      </c>
      <c r="E26" s="20">
        <v>4.125</v>
      </c>
      <c r="F26" s="19">
        <v>0.625</v>
      </c>
      <c r="G26" s="19">
        <v>1.375</v>
      </c>
      <c r="H26" s="19">
        <v>0.5625</v>
      </c>
      <c r="I26" s="20">
        <v>1</v>
      </c>
      <c r="J26" s="20" t="s">
        <v>899</v>
      </c>
      <c r="K26" s="19" t="s">
        <v>899</v>
      </c>
      <c r="L26" s="123">
        <f>(C26*2-F26*2+(E26*4)-(D26*2))*12/144</f>
        <v>3.3645833333333335</v>
      </c>
      <c r="M26" s="281">
        <f t="shared" si="0"/>
        <v>1.0255250015587982</v>
      </c>
      <c r="N26" s="281">
        <f t="shared" si="1"/>
        <v>52.085741548986604</v>
      </c>
      <c r="O26">
        <v>35</v>
      </c>
    </row>
    <row r="27" spans="2:15" x14ac:dyDescent="0.2">
      <c r="B27" s="131" t="s">
        <v>1202</v>
      </c>
      <c r="C27" s="134">
        <v>13</v>
      </c>
      <c r="D27" s="133">
        <v>0.375</v>
      </c>
      <c r="E27" s="134">
        <v>4</v>
      </c>
      <c r="F27" s="133">
        <v>0.625</v>
      </c>
      <c r="G27" s="133">
        <v>1.375</v>
      </c>
      <c r="H27" s="133">
        <v>0.5625</v>
      </c>
      <c r="I27" s="134">
        <v>1</v>
      </c>
      <c r="J27" s="134" t="s">
        <v>899</v>
      </c>
      <c r="K27" s="133" t="s">
        <v>899</v>
      </c>
      <c r="L27" s="320">
        <f>(C27*2-F27*2+(E27*4)-(D27*2))*12/144</f>
        <v>3.3333333333333335</v>
      </c>
      <c r="M27" s="340">
        <f t="shared" si="0"/>
        <v>1.0160000015443202</v>
      </c>
      <c r="N27" s="281">
        <f t="shared" si="1"/>
        <v>47.323616607364976</v>
      </c>
      <c r="O27">
        <v>31.8</v>
      </c>
    </row>
    <row r="28" spans="2:15" x14ac:dyDescent="0.2">
      <c r="B28" s="314"/>
      <c r="C28" s="322" t="s">
        <v>899</v>
      </c>
      <c r="D28" s="322" t="s">
        <v>899</v>
      </c>
      <c r="E28" s="322" t="s">
        <v>899</v>
      </c>
      <c r="F28" s="322" t="s">
        <v>899</v>
      </c>
      <c r="G28" s="322" t="s">
        <v>899</v>
      </c>
      <c r="H28" s="322" t="s">
        <v>899</v>
      </c>
      <c r="I28" s="322"/>
      <c r="J28" s="322" t="s">
        <v>899</v>
      </c>
      <c r="K28" s="322" t="s">
        <v>899</v>
      </c>
      <c r="L28" s="323"/>
      <c r="M28" s="324"/>
      <c r="N28" s="341"/>
    </row>
    <row r="29" spans="2:15" x14ac:dyDescent="0.2">
      <c r="B29" s="131" t="s">
        <v>1203</v>
      </c>
      <c r="C29" s="134">
        <v>12</v>
      </c>
      <c r="D29" s="133">
        <v>0.8125</v>
      </c>
      <c r="E29" s="134">
        <v>4.125</v>
      </c>
      <c r="F29" s="133">
        <v>0.6875</v>
      </c>
      <c r="G29" s="133">
        <v>1.3125</v>
      </c>
      <c r="H29" s="133">
        <v>0.6875</v>
      </c>
      <c r="I29" s="134">
        <v>1</v>
      </c>
      <c r="J29" s="134" t="s">
        <v>899</v>
      </c>
      <c r="K29" s="133" t="s">
        <v>899</v>
      </c>
      <c r="L29" s="123">
        <f>(C29*2-F29*2+(E29*4)-(D29*2))*12/144</f>
        <v>3.125</v>
      </c>
      <c r="M29" s="281">
        <f t="shared" si="0"/>
        <v>0.95250000144780012</v>
      </c>
      <c r="N29" s="281">
        <f t="shared" si="1"/>
        <v>74.408202212838006</v>
      </c>
      <c r="O29">
        <v>50</v>
      </c>
    </row>
    <row r="30" spans="2:15" x14ac:dyDescent="0.2">
      <c r="B30" s="18" t="s">
        <v>1204</v>
      </c>
      <c r="C30" s="20">
        <v>12</v>
      </c>
      <c r="D30" s="19">
        <v>0.6875</v>
      </c>
      <c r="E30" s="20">
        <v>4</v>
      </c>
      <c r="F30" s="19">
        <v>0.6875</v>
      </c>
      <c r="G30" s="19">
        <v>1.3125</v>
      </c>
      <c r="H30" s="19">
        <v>0.6875</v>
      </c>
      <c r="I30" s="20">
        <v>1</v>
      </c>
      <c r="J30" s="20" t="s">
        <v>899</v>
      </c>
      <c r="K30" s="19" t="s">
        <v>899</v>
      </c>
      <c r="L30" s="123">
        <f>(C30*2-F30*2+(E30*4)-(D30*2))*12/144</f>
        <v>3.1041666666666665</v>
      </c>
      <c r="M30" s="281">
        <f t="shared" si="0"/>
        <v>0.94615000143814809</v>
      </c>
      <c r="N30" s="281">
        <f t="shared" si="1"/>
        <v>66.967381991554205</v>
      </c>
      <c r="O30">
        <v>45</v>
      </c>
    </row>
    <row r="31" spans="2:15" x14ac:dyDescent="0.2">
      <c r="B31" s="131" t="s">
        <v>1205</v>
      </c>
      <c r="C31" s="134">
        <v>12</v>
      </c>
      <c r="D31" s="133">
        <v>0.5625</v>
      </c>
      <c r="E31" s="134">
        <v>3.875</v>
      </c>
      <c r="F31" s="133">
        <v>0.6875</v>
      </c>
      <c r="G31" s="133">
        <v>1.3125</v>
      </c>
      <c r="H31" s="133">
        <v>0.6875</v>
      </c>
      <c r="I31" s="134">
        <v>1</v>
      </c>
      <c r="J31" s="134" t="s">
        <v>899</v>
      </c>
      <c r="K31" s="133" t="s">
        <v>899</v>
      </c>
      <c r="L31" s="123">
        <f>(C31*2-F31*2+(E31*4)-(D31*2))*12/144</f>
        <v>3.0833333333333335</v>
      </c>
      <c r="M31" s="281">
        <f t="shared" si="0"/>
        <v>0.93980000142849618</v>
      </c>
      <c r="N31" s="281">
        <f t="shared" si="1"/>
        <v>59.526561770270405</v>
      </c>
      <c r="O31">
        <v>40</v>
      </c>
    </row>
    <row r="32" spans="2:15" x14ac:dyDescent="0.2">
      <c r="B32" s="18" t="s">
        <v>1206</v>
      </c>
      <c r="C32" s="20">
        <v>12</v>
      </c>
      <c r="D32" s="19">
        <v>0.4375</v>
      </c>
      <c r="E32" s="20">
        <v>3.75</v>
      </c>
      <c r="F32" s="19">
        <v>0.6875</v>
      </c>
      <c r="G32" s="19">
        <v>1.3125</v>
      </c>
      <c r="H32" s="19">
        <v>0.6875</v>
      </c>
      <c r="I32" s="20">
        <v>1</v>
      </c>
      <c r="J32" s="20" t="s">
        <v>899</v>
      </c>
      <c r="K32" s="19" t="s">
        <v>899</v>
      </c>
      <c r="L32" s="123">
        <f>(C32*2-F32*2+(E32*4)-(D32*2))*12/144</f>
        <v>3.0625</v>
      </c>
      <c r="M32" s="281">
        <f t="shared" si="0"/>
        <v>0.93345000141884404</v>
      </c>
      <c r="N32" s="281">
        <f t="shared" si="1"/>
        <v>52.085741548986604</v>
      </c>
      <c r="O32">
        <v>35</v>
      </c>
    </row>
    <row r="33" spans="2:15" x14ac:dyDescent="0.2">
      <c r="B33" s="18" t="s">
        <v>1709</v>
      </c>
      <c r="C33" s="22">
        <v>12</v>
      </c>
      <c r="D33" s="21">
        <v>0.375</v>
      </c>
      <c r="E33" s="22">
        <v>3.625</v>
      </c>
      <c r="F33" s="21">
        <v>0.6875</v>
      </c>
      <c r="G33" s="21">
        <v>1.3125</v>
      </c>
      <c r="H33" s="21">
        <v>0.6875</v>
      </c>
      <c r="I33" s="22">
        <v>1</v>
      </c>
      <c r="J33" s="22"/>
      <c r="K33" s="21"/>
      <c r="L33" s="320">
        <f>(C33*2-F33*2+(E33*4)-(D33*2))*12/144</f>
        <v>3.03125</v>
      </c>
      <c r="M33" s="340">
        <f t="shared" si="0"/>
        <v>0.92392500140436606</v>
      </c>
      <c r="N33" s="281">
        <f t="shared" si="1"/>
        <v>46.133085371959559</v>
      </c>
      <c r="O33">
        <v>31</v>
      </c>
    </row>
    <row r="34" spans="2:15" x14ac:dyDescent="0.2">
      <c r="B34" s="314" t="s">
        <v>899</v>
      </c>
      <c r="C34" s="322" t="s">
        <v>899</v>
      </c>
      <c r="D34" s="322" t="s">
        <v>899</v>
      </c>
      <c r="E34" s="322" t="s">
        <v>899</v>
      </c>
      <c r="F34" s="322" t="s">
        <v>899</v>
      </c>
      <c r="G34" s="322" t="s">
        <v>899</v>
      </c>
      <c r="H34" s="322" t="s">
        <v>899</v>
      </c>
      <c r="I34" s="322" t="s">
        <v>899</v>
      </c>
      <c r="J34" s="322" t="s">
        <v>899</v>
      </c>
      <c r="K34" s="322" t="s">
        <v>899</v>
      </c>
      <c r="L34" s="323"/>
      <c r="M34" s="324"/>
      <c r="N34" s="341"/>
    </row>
    <row r="35" spans="2:15" x14ac:dyDescent="0.2">
      <c r="B35" s="131" t="s">
        <v>1207</v>
      </c>
      <c r="C35" s="134">
        <v>12</v>
      </c>
      <c r="D35" s="133">
        <v>0.1875</v>
      </c>
      <c r="E35" s="134">
        <v>1.5</v>
      </c>
      <c r="F35" s="133">
        <v>0.3125</v>
      </c>
      <c r="G35" s="133">
        <v>0.6875</v>
      </c>
      <c r="H35" s="175" t="s">
        <v>1103</v>
      </c>
      <c r="I35" s="188" t="s">
        <v>1103</v>
      </c>
      <c r="J35" s="134" t="s">
        <v>899</v>
      </c>
      <c r="K35" s="133" t="s">
        <v>899</v>
      </c>
      <c r="L35" s="123">
        <f>(C35*2-F35*2+(E35*4)-(D35*2))*12/144</f>
        <v>2.4166666666666665</v>
      </c>
      <c r="M35" s="281">
        <f t="shared" si="0"/>
        <v>0.73660000111963209</v>
      </c>
      <c r="N35" s="281">
        <f t="shared" si="1"/>
        <v>15.774538869121656</v>
      </c>
      <c r="O35">
        <v>10.6</v>
      </c>
    </row>
    <row r="36" spans="2:15" x14ac:dyDescent="0.2">
      <c r="B36" s="18" t="s">
        <v>899</v>
      </c>
      <c r="C36" s="20" t="s">
        <v>899</v>
      </c>
      <c r="D36" s="19" t="s">
        <v>899</v>
      </c>
      <c r="E36" s="20" t="s">
        <v>899</v>
      </c>
      <c r="F36" s="19" t="s">
        <v>899</v>
      </c>
      <c r="G36" s="19" t="s">
        <v>899</v>
      </c>
      <c r="H36" s="19" t="s">
        <v>899</v>
      </c>
      <c r="I36" s="20"/>
      <c r="J36" s="20" t="s">
        <v>899</v>
      </c>
      <c r="K36" s="19" t="s">
        <v>899</v>
      </c>
      <c r="L36" s="123"/>
      <c r="M36" s="281"/>
      <c r="N36" s="281"/>
    </row>
    <row r="37" spans="2:15" x14ac:dyDescent="0.2">
      <c r="B37" s="131" t="s">
        <v>1208</v>
      </c>
      <c r="C37" s="134">
        <v>10</v>
      </c>
      <c r="D37" s="133">
        <v>0.8125</v>
      </c>
      <c r="E37" s="134">
        <v>4.375</v>
      </c>
      <c r="F37" s="133">
        <v>0.5625</v>
      </c>
      <c r="G37" s="133">
        <v>1.25</v>
      </c>
      <c r="H37" s="133">
        <v>0.5625</v>
      </c>
      <c r="I37" s="134">
        <v>0.875</v>
      </c>
      <c r="J37" s="134" t="s">
        <v>899</v>
      </c>
      <c r="K37" s="133" t="s">
        <v>899</v>
      </c>
      <c r="L37" s="123">
        <f>(C37*2-F37*2+(E37*4)-(D37*2))*12/144</f>
        <v>2.8958333333333335</v>
      </c>
      <c r="M37" s="281">
        <f t="shared" si="0"/>
        <v>0.88265000134162819</v>
      </c>
      <c r="N37" s="281">
        <f t="shared" si="1"/>
        <v>61.163542218952841</v>
      </c>
      <c r="O37">
        <v>41.1</v>
      </c>
    </row>
    <row r="38" spans="2:15" x14ac:dyDescent="0.2">
      <c r="B38" s="18" t="s">
        <v>1209</v>
      </c>
      <c r="C38" s="20">
        <v>10</v>
      </c>
      <c r="D38" s="19">
        <v>0.5625</v>
      </c>
      <c r="E38" s="20">
        <v>4.125</v>
      </c>
      <c r="F38" s="19">
        <v>0.5625</v>
      </c>
      <c r="G38" s="19">
        <v>1.25</v>
      </c>
      <c r="H38" s="19">
        <v>0.5625</v>
      </c>
      <c r="I38" s="20">
        <v>0.875</v>
      </c>
      <c r="J38" s="20" t="s">
        <v>899</v>
      </c>
      <c r="K38" s="19" t="s">
        <v>899</v>
      </c>
      <c r="L38" s="123">
        <f>(C38*2-F38*2+(E38*4)-(D38*2))*12/144</f>
        <v>2.8541666666666665</v>
      </c>
      <c r="M38" s="281">
        <f t="shared" si="0"/>
        <v>0.86995000132232414</v>
      </c>
      <c r="N38" s="281">
        <f t="shared" si="1"/>
        <v>50.00231188702714</v>
      </c>
      <c r="O38">
        <v>33.6</v>
      </c>
    </row>
    <row r="39" spans="2:15" x14ac:dyDescent="0.2">
      <c r="B39" s="131" t="s">
        <v>1210</v>
      </c>
      <c r="C39" s="134">
        <v>10</v>
      </c>
      <c r="D39" s="133">
        <v>0.4375</v>
      </c>
      <c r="E39" s="134">
        <v>4</v>
      </c>
      <c r="F39" s="133">
        <v>0.5625</v>
      </c>
      <c r="G39" s="133">
        <v>1.25</v>
      </c>
      <c r="H39" s="133">
        <v>0.5625</v>
      </c>
      <c r="I39" s="134">
        <v>0.875</v>
      </c>
      <c r="J39" s="134" t="s">
        <v>899</v>
      </c>
      <c r="K39" s="133" t="s">
        <v>899</v>
      </c>
      <c r="L39" s="320">
        <f>(C39*2-F39*2+(E39*4)-(D39*2))*12/144</f>
        <v>2.8333333333333335</v>
      </c>
      <c r="M39" s="340">
        <f t="shared" si="0"/>
        <v>0.86360000131267223</v>
      </c>
      <c r="N39" s="281">
        <f t="shared" si="1"/>
        <v>42.412675261317659</v>
      </c>
      <c r="O39">
        <v>28.5</v>
      </c>
    </row>
    <row r="40" spans="2:15" x14ac:dyDescent="0.2">
      <c r="B40" s="314" t="s">
        <v>899</v>
      </c>
      <c r="C40" s="322" t="s">
        <v>899</v>
      </c>
      <c r="D40" s="322" t="s">
        <v>899</v>
      </c>
      <c r="E40" s="322" t="s">
        <v>899</v>
      </c>
      <c r="F40" s="322" t="s">
        <v>899</v>
      </c>
      <c r="G40" s="322" t="s">
        <v>899</v>
      </c>
      <c r="H40" s="322" t="s">
        <v>899</v>
      </c>
      <c r="I40" s="322" t="s">
        <v>899</v>
      </c>
      <c r="J40" s="322" t="s">
        <v>899</v>
      </c>
      <c r="K40" s="322" t="s">
        <v>899</v>
      </c>
      <c r="L40" s="323"/>
      <c r="M40" s="324"/>
      <c r="N40" s="341"/>
    </row>
    <row r="41" spans="2:15" x14ac:dyDescent="0.2">
      <c r="B41" s="131" t="s">
        <v>1710</v>
      </c>
      <c r="C41" s="134">
        <v>10</v>
      </c>
      <c r="D41" s="133">
        <v>0.375</v>
      </c>
      <c r="E41" s="134">
        <v>3.375</v>
      </c>
      <c r="F41" s="133">
        <v>0.5625</v>
      </c>
      <c r="G41" s="133">
        <v>1.25</v>
      </c>
      <c r="H41" s="133">
        <v>0.5625</v>
      </c>
      <c r="I41" s="134">
        <v>0.875</v>
      </c>
      <c r="J41" s="134" t="s">
        <v>899</v>
      </c>
      <c r="K41" s="133" t="s">
        <v>899</v>
      </c>
      <c r="L41" s="123">
        <f>(C41*2-F41*2+(E41*4)-(D41*2))*12/144</f>
        <v>2.6354166666666665</v>
      </c>
      <c r="M41" s="281">
        <f t="shared" si="0"/>
        <v>0.80327500122097806</v>
      </c>
      <c r="N41" s="281">
        <f t="shared" si="1"/>
        <v>37.204101106419003</v>
      </c>
      <c r="O41">
        <v>25</v>
      </c>
    </row>
    <row r="42" spans="2:15" x14ac:dyDescent="0.2">
      <c r="B42" s="18" t="s">
        <v>1711</v>
      </c>
      <c r="C42" s="22">
        <v>10</v>
      </c>
      <c r="D42" s="21">
        <v>0.3125</v>
      </c>
      <c r="E42" s="22">
        <v>3.375</v>
      </c>
      <c r="F42" s="21">
        <v>0.5625</v>
      </c>
      <c r="G42" s="21">
        <v>1.25</v>
      </c>
      <c r="H42" s="21">
        <v>0.5625</v>
      </c>
      <c r="I42" s="22">
        <v>0.875</v>
      </c>
      <c r="J42" s="22" t="s">
        <v>899</v>
      </c>
      <c r="K42" s="21" t="s">
        <v>899</v>
      </c>
      <c r="L42" s="320">
        <f>(C42*2-F42*2+(E42*4)-(D42*2))*12/144</f>
        <v>2.6458333333333335</v>
      </c>
      <c r="M42" s="340">
        <f t="shared" si="0"/>
        <v>0.80645000122580401</v>
      </c>
      <c r="N42" s="281">
        <f t="shared" si="1"/>
        <v>32.739608973648721</v>
      </c>
      <c r="O42">
        <v>22</v>
      </c>
    </row>
    <row r="43" spans="2:15" x14ac:dyDescent="0.2">
      <c r="B43" s="318" t="s">
        <v>899</v>
      </c>
      <c r="C43" s="322" t="s">
        <v>899</v>
      </c>
      <c r="D43" s="322" t="s">
        <v>899</v>
      </c>
      <c r="E43" s="322" t="s">
        <v>899</v>
      </c>
      <c r="F43" s="322" t="s">
        <v>899</v>
      </c>
      <c r="G43" s="322" t="s">
        <v>899</v>
      </c>
      <c r="H43" s="322" t="s">
        <v>899</v>
      </c>
      <c r="I43" s="322" t="s">
        <v>899</v>
      </c>
      <c r="J43" s="322" t="s">
        <v>899</v>
      </c>
      <c r="K43" s="322" t="s">
        <v>899</v>
      </c>
      <c r="L43" s="323"/>
      <c r="M43" s="324"/>
      <c r="N43" s="341"/>
    </row>
    <row r="44" spans="2:15" x14ac:dyDescent="0.2">
      <c r="B44" s="18" t="s">
        <v>1211</v>
      </c>
      <c r="C44" s="134">
        <v>10</v>
      </c>
      <c r="D44" s="133">
        <v>0.1875</v>
      </c>
      <c r="E44" s="134">
        <v>1.5</v>
      </c>
      <c r="F44" s="133">
        <v>0.25</v>
      </c>
      <c r="G44" s="133">
        <v>0.6875</v>
      </c>
      <c r="H44" s="175" t="s">
        <v>1103</v>
      </c>
      <c r="I44" s="188" t="s">
        <v>1103</v>
      </c>
      <c r="J44" s="134" t="s">
        <v>899</v>
      </c>
      <c r="K44" s="133" t="s">
        <v>899</v>
      </c>
      <c r="L44" s="320">
        <f>(C44*2-F44*2+(E44*4)-(D44*2))*12/144</f>
        <v>2.09375</v>
      </c>
      <c r="M44" s="340">
        <f t="shared" si="0"/>
        <v>0.63817500097002611</v>
      </c>
      <c r="N44" s="281">
        <f t="shared" si="1"/>
        <v>12.500577971756785</v>
      </c>
      <c r="O44">
        <v>8.4</v>
      </c>
    </row>
    <row r="45" spans="2:15" x14ac:dyDescent="0.2">
      <c r="B45" s="314"/>
      <c r="C45" s="322"/>
      <c r="D45" s="322"/>
      <c r="E45" s="322"/>
      <c r="F45" s="322"/>
      <c r="G45" s="322"/>
      <c r="H45" s="356"/>
      <c r="I45" s="356"/>
      <c r="J45" s="322"/>
      <c r="K45" s="322"/>
      <c r="L45" s="323"/>
      <c r="M45" s="324"/>
      <c r="N45" s="341"/>
    </row>
    <row r="46" spans="2:15" x14ac:dyDescent="0.2">
      <c r="B46" s="131" t="s">
        <v>1212</v>
      </c>
      <c r="C46" s="134">
        <v>10</v>
      </c>
      <c r="D46" s="133">
        <v>0.125</v>
      </c>
      <c r="E46" s="134">
        <v>1.125</v>
      </c>
      <c r="F46" s="133">
        <v>0.1875</v>
      </c>
      <c r="G46" s="133">
        <v>0.4375</v>
      </c>
      <c r="H46" s="175" t="s">
        <v>1103</v>
      </c>
      <c r="I46" s="188" t="s">
        <v>1103</v>
      </c>
      <c r="J46" s="134" t="s">
        <v>899</v>
      </c>
      <c r="K46" s="133" t="s">
        <v>899</v>
      </c>
      <c r="L46" s="320">
        <f>(C46*2-F46*2+(E46*4)-(D46*2))*12/144</f>
        <v>1.9895833333333333</v>
      </c>
      <c r="M46" s="340">
        <f t="shared" si="0"/>
        <v>0.60642500092176599</v>
      </c>
      <c r="N46" s="281">
        <f t="shared" si="1"/>
        <v>9.6730662876689415</v>
      </c>
      <c r="O46">
        <v>6.5</v>
      </c>
    </row>
    <row r="47" spans="2:15" x14ac:dyDescent="0.2">
      <c r="B47" s="314" t="s">
        <v>899</v>
      </c>
      <c r="C47" s="322" t="s">
        <v>899</v>
      </c>
      <c r="D47" s="322" t="s">
        <v>899</v>
      </c>
      <c r="E47" s="322" t="s">
        <v>899</v>
      </c>
      <c r="F47" s="322" t="s">
        <v>899</v>
      </c>
      <c r="G47" s="322" t="s">
        <v>899</v>
      </c>
      <c r="H47" s="322" t="s">
        <v>899</v>
      </c>
      <c r="I47" s="322"/>
      <c r="J47" s="322" t="s">
        <v>899</v>
      </c>
      <c r="K47" s="322" t="s">
        <v>899</v>
      </c>
      <c r="L47" s="323"/>
      <c r="M47" s="324"/>
      <c r="N47" s="341"/>
    </row>
    <row r="48" spans="2:15" x14ac:dyDescent="0.2">
      <c r="B48" s="131" t="s">
        <v>1193</v>
      </c>
      <c r="C48" s="134">
        <v>9</v>
      </c>
      <c r="D48" s="133">
        <v>0.4375</v>
      </c>
      <c r="E48" s="134">
        <v>3.5</v>
      </c>
      <c r="F48" s="133">
        <v>0.5625</v>
      </c>
      <c r="G48" s="133">
        <v>1.1875</v>
      </c>
      <c r="H48" s="133">
        <v>0.5625</v>
      </c>
      <c r="I48" s="134">
        <v>0.875</v>
      </c>
      <c r="J48" s="134" t="s">
        <v>899</v>
      </c>
      <c r="K48" s="133" t="s">
        <v>899</v>
      </c>
      <c r="L48" s="123">
        <f>(C48*2-F48*2+(E48*4)-(D48*2))*12/144</f>
        <v>2.5</v>
      </c>
      <c r="M48" s="281">
        <f t="shared" si="0"/>
        <v>0.76200000115824007</v>
      </c>
      <c r="N48" s="281">
        <f t="shared" si="1"/>
        <v>37.799366724121704</v>
      </c>
      <c r="O48">
        <v>25.4</v>
      </c>
    </row>
    <row r="49" spans="2:15" x14ac:dyDescent="0.2">
      <c r="B49" s="18" t="s">
        <v>1213</v>
      </c>
      <c r="C49" s="22">
        <v>9</v>
      </c>
      <c r="D49" s="21">
        <v>0.375</v>
      </c>
      <c r="E49" s="22">
        <v>3.5</v>
      </c>
      <c r="F49" s="21">
        <v>0.5625</v>
      </c>
      <c r="G49" s="21">
        <v>1.1875</v>
      </c>
      <c r="H49" s="21">
        <v>0.5625</v>
      </c>
      <c r="I49" s="22">
        <v>0.875</v>
      </c>
      <c r="J49" s="22" t="s">
        <v>899</v>
      </c>
      <c r="K49" s="21" t="s">
        <v>899</v>
      </c>
      <c r="L49" s="320">
        <f>(C49*2-F49*2+(E49*4)-(D49*2))*12/144</f>
        <v>2.5104166666666665</v>
      </c>
      <c r="M49" s="340">
        <f t="shared" si="0"/>
        <v>0.76517500116306592</v>
      </c>
      <c r="N49" s="281">
        <f t="shared" si="1"/>
        <v>35.56712065773656</v>
      </c>
      <c r="O49">
        <v>23.9</v>
      </c>
    </row>
    <row r="50" spans="2:15" x14ac:dyDescent="0.2">
      <c r="B50" s="318" t="s">
        <v>899</v>
      </c>
      <c r="C50" s="322" t="s">
        <v>899</v>
      </c>
      <c r="D50" s="322" t="s">
        <v>899</v>
      </c>
      <c r="E50" s="322" t="s">
        <v>899</v>
      </c>
      <c r="F50" s="322" t="s">
        <v>899</v>
      </c>
      <c r="G50" s="322" t="s">
        <v>899</v>
      </c>
      <c r="H50" s="322" t="s">
        <v>899</v>
      </c>
      <c r="I50" s="322" t="s">
        <v>899</v>
      </c>
      <c r="J50" s="322" t="s">
        <v>899</v>
      </c>
      <c r="K50" s="322" t="s">
        <v>899</v>
      </c>
      <c r="L50" s="323"/>
      <c r="M50" s="324"/>
      <c r="N50" s="341"/>
    </row>
    <row r="51" spans="2:15" x14ac:dyDescent="0.2">
      <c r="B51" s="18" t="s">
        <v>1214</v>
      </c>
      <c r="C51" s="160">
        <v>8</v>
      </c>
      <c r="D51" s="135">
        <v>0.4375</v>
      </c>
      <c r="E51" s="160">
        <v>3.5</v>
      </c>
      <c r="F51" s="135">
        <v>0.5</v>
      </c>
      <c r="G51" s="135">
        <v>1.1875</v>
      </c>
      <c r="H51" s="135">
        <v>0.5</v>
      </c>
      <c r="I51" s="160">
        <v>0.875</v>
      </c>
      <c r="J51" s="160" t="s">
        <v>899</v>
      </c>
      <c r="K51" s="135" t="s">
        <v>899</v>
      </c>
      <c r="L51" s="123">
        <f>(C51*2-F51*2+(E51*4)-(D51*2))*12/144</f>
        <v>2.34375</v>
      </c>
      <c r="M51" s="281">
        <f t="shared" si="0"/>
        <v>0.71437500108585006</v>
      </c>
      <c r="N51" s="281">
        <f t="shared" si="1"/>
        <v>33.93014020905413</v>
      </c>
      <c r="O51">
        <v>22.8</v>
      </c>
    </row>
    <row r="52" spans="2:15" x14ac:dyDescent="0.2">
      <c r="B52" s="18" t="s">
        <v>1712</v>
      </c>
      <c r="C52" s="22">
        <v>8</v>
      </c>
      <c r="D52" s="21">
        <v>0.375</v>
      </c>
      <c r="E52" s="22">
        <v>3.5</v>
      </c>
      <c r="F52" s="21">
        <v>0.5</v>
      </c>
      <c r="G52" s="21">
        <v>1.1875</v>
      </c>
      <c r="H52" s="21">
        <v>0.5</v>
      </c>
      <c r="I52" s="22">
        <v>0.875</v>
      </c>
      <c r="J52" s="22"/>
      <c r="K52" s="21"/>
      <c r="L52" s="320">
        <f>(C52*2-F52*2+(E52*4)-(D52*2))*12/144</f>
        <v>2.3541666666666665</v>
      </c>
      <c r="M52" s="340">
        <f t="shared" si="0"/>
        <v>0.71755000109067602</v>
      </c>
      <c r="N52" s="281">
        <f t="shared" si="1"/>
        <v>31.846710547094666</v>
      </c>
      <c r="O52">
        <v>21.4</v>
      </c>
    </row>
    <row r="53" spans="2:15" x14ac:dyDescent="0.2">
      <c r="B53" s="314"/>
      <c r="C53" s="322"/>
      <c r="D53" s="322"/>
      <c r="E53" s="322"/>
      <c r="F53" s="322"/>
      <c r="G53" s="322"/>
      <c r="H53" s="322"/>
      <c r="I53" s="322"/>
      <c r="J53" s="322"/>
      <c r="K53" s="322"/>
      <c r="L53" s="323"/>
      <c r="M53" s="324"/>
      <c r="N53" s="341"/>
    </row>
    <row r="54" spans="2:15" x14ac:dyDescent="0.2">
      <c r="B54" s="18" t="s">
        <v>1222</v>
      </c>
      <c r="C54" s="160">
        <v>8</v>
      </c>
      <c r="D54" s="135">
        <v>0.375</v>
      </c>
      <c r="E54" s="160">
        <v>3</v>
      </c>
      <c r="F54" s="135">
        <v>0.5</v>
      </c>
      <c r="G54" s="135">
        <v>1.125</v>
      </c>
      <c r="H54" s="135">
        <v>0.5</v>
      </c>
      <c r="I54" s="160">
        <v>0.875</v>
      </c>
      <c r="J54" s="160" t="s">
        <v>899</v>
      </c>
      <c r="K54" s="135" t="s">
        <v>899</v>
      </c>
      <c r="L54" s="123">
        <f>(C54*2-F54*2+(E54*4)-(D54*2))*12/144</f>
        <v>2.1875</v>
      </c>
      <c r="M54" s="281">
        <f t="shared" si="0"/>
        <v>0.66675000101346005</v>
      </c>
      <c r="N54" s="281">
        <f t="shared" si="1"/>
        <v>29.763280885135202</v>
      </c>
      <c r="O54">
        <v>20</v>
      </c>
    </row>
    <row r="55" spans="2:15" x14ac:dyDescent="0.2">
      <c r="B55" s="131" t="s">
        <v>1215</v>
      </c>
      <c r="C55" s="134">
        <v>8</v>
      </c>
      <c r="D55" s="133">
        <v>0.375</v>
      </c>
      <c r="E55" s="134">
        <v>3</v>
      </c>
      <c r="F55" s="133">
        <v>0.5</v>
      </c>
      <c r="G55" s="133">
        <v>1.1875</v>
      </c>
      <c r="H55" s="133">
        <v>0.5</v>
      </c>
      <c r="I55" s="134">
        <v>0.875</v>
      </c>
      <c r="J55" s="134" t="s">
        <v>899</v>
      </c>
      <c r="K55" s="133" t="s">
        <v>899</v>
      </c>
      <c r="L55" s="123">
        <f>(C55*2-F55*2+(E55*4)-(D55*2))*12/144</f>
        <v>2.1875</v>
      </c>
      <c r="M55" s="281">
        <f t="shared" si="0"/>
        <v>0.66675000101346005</v>
      </c>
      <c r="N55" s="281">
        <f t="shared" si="1"/>
        <v>27.828667627601416</v>
      </c>
      <c r="O55">
        <v>18.7</v>
      </c>
    </row>
    <row r="56" spans="2:15" x14ac:dyDescent="0.2">
      <c r="B56" s="18"/>
      <c r="C56" s="20"/>
      <c r="D56" s="19"/>
      <c r="E56" s="20"/>
      <c r="F56" s="19"/>
      <c r="G56" s="19"/>
      <c r="H56" s="19"/>
      <c r="I56" s="20"/>
      <c r="J56" s="20"/>
      <c r="K56" s="19"/>
      <c r="L56" s="123"/>
      <c r="M56" s="281"/>
      <c r="N56" s="281"/>
    </row>
    <row r="57" spans="2:15" x14ac:dyDescent="0.2">
      <c r="B57" s="131" t="s">
        <v>1216</v>
      </c>
      <c r="C57" s="134">
        <v>8</v>
      </c>
      <c r="D57" s="133">
        <v>0.1875</v>
      </c>
      <c r="E57" s="134">
        <v>1.875</v>
      </c>
      <c r="F57" s="133">
        <v>0.3125</v>
      </c>
      <c r="G57" s="133">
        <v>0.75</v>
      </c>
      <c r="H57" s="133">
        <v>0.3125</v>
      </c>
      <c r="I57" s="134">
        <v>0.625</v>
      </c>
      <c r="J57" s="134" t="s">
        <v>899</v>
      </c>
      <c r="K57" s="133" t="s">
        <v>899</v>
      </c>
      <c r="L57" s="320">
        <f>(C57*2-F57*2+(E57*4)-(D57*2))*12/144</f>
        <v>1.875</v>
      </c>
      <c r="M57" s="340">
        <f t="shared" si="0"/>
        <v>0.57150000086868002</v>
      </c>
      <c r="N57" s="281">
        <f t="shared" si="1"/>
        <v>12.649394376182462</v>
      </c>
      <c r="O57">
        <v>8.5</v>
      </c>
    </row>
    <row r="58" spans="2:15" x14ac:dyDescent="0.2">
      <c r="B58" s="314"/>
      <c r="C58" s="322" t="s">
        <v>899</v>
      </c>
      <c r="D58" s="322" t="s">
        <v>899</v>
      </c>
      <c r="E58" s="322" t="s">
        <v>899</v>
      </c>
      <c r="F58" s="322" t="s">
        <v>899</v>
      </c>
      <c r="G58" s="322" t="s">
        <v>899</v>
      </c>
      <c r="H58" s="322" t="s">
        <v>899</v>
      </c>
      <c r="I58" s="322"/>
      <c r="J58" s="322" t="s">
        <v>899</v>
      </c>
      <c r="K58" s="322" t="s">
        <v>899</v>
      </c>
      <c r="L58" s="323"/>
      <c r="M58" s="324"/>
      <c r="N58" s="341"/>
    </row>
    <row r="59" spans="2:15" x14ac:dyDescent="0.2">
      <c r="B59" s="131" t="s">
        <v>1217</v>
      </c>
      <c r="C59" s="134">
        <v>7</v>
      </c>
      <c r="D59" s="133">
        <v>0.5</v>
      </c>
      <c r="E59" s="134">
        <v>3.625</v>
      </c>
      <c r="F59" s="133">
        <v>0.5</v>
      </c>
      <c r="G59" s="133">
        <v>1.125</v>
      </c>
      <c r="H59" s="133">
        <v>0.5</v>
      </c>
      <c r="I59" s="134">
        <v>0.875</v>
      </c>
      <c r="J59" s="134" t="s">
        <v>899</v>
      </c>
      <c r="K59" s="133" t="s">
        <v>899</v>
      </c>
      <c r="L59" s="123">
        <f>(C59*2-F59*2+(E59*4)-(D59*2))*12/144</f>
        <v>2.2083333333333335</v>
      </c>
      <c r="M59" s="281">
        <f t="shared" si="0"/>
        <v>0.67310000102311218</v>
      </c>
      <c r="N59" s="281">
        <f t="shared" si="1"/>
        <v>33.78132380462845</v>
      </c>
      <c r="O59">
        <v>22.7</v>
      </c>
    </row>
    <row r="60" spans="2:15" x14ac:dyDescent="0.2">
      <c r="B60" s="18" t="s">
        <v>1218</v>
      </c>
      <c r="C60" s="22">
        <v>7</v>
      </c>
      <c r="D60" s="21">
        <v>0.375</v>
      </c>
      <c r="E60" s="22">
        <v>3.5</v>
      </c>
      <c r="F60" s="21">
        <v>0.5</v>
      </c>
      <c r="G60" s="21">
        <v>1.125</v>
      </c>
      <c r="H60" s="21">
        <v>0.5</v>
      </c>
      <c r="I60" s="22">
        <v>0.875</v>
      </c>
      <c r="J60" s="22" t="s">
        <v>899</v>
      </c>
      <c r="K60" s="21" t="s">
        <v>899</v>
      </c>
      <c r="L60" s="320">
        <f>(C60*2-F60*2+(E60*4)-(D60*2))*12/144</f>
        <v>2.1875</v>
      </c>
      <c r="M60" s="340">
        <f t="shared" si="0"/>
        <v>0.66675000101346005</v>
      </c>
      <c r="N60" s="281">
        <f t="shared" si="1"/>
        <v>28.42393324530412</v>
      </c>
      <c r="O60">
        <v>19.100000000000001</v>
      </c>
    </row>
    <row r="61" spans="2:15" x14ac:dyDescent="0.2">
      <c r="B61" s="318" t="s">
        <v>899</v>
      </c>
      <c r="C61" s="322" t="s">
        <v>899</v>
      </c>
      <c r="D61" s="322" t="s">
        <v>899</v>
      </c>
      <c r="E61" s="322" t="s">
        <v>899</v>
      </c>
      <c r="F61" s="322" t="s">
        <v>899</v>
      </c>
      <c r="G61" s="322" t="s">
        <v>899</v>
      </c>
      <c r="H61" s="322" t="s">
        <v>899</v>
      </c>
      <c r="I61" s="322" t="s">
        <v>899</v>
      </c>
      <c r="J61" s="322" t="s">
        <v>899</v>
      </c>
      <c r="K61" s="322" t="s">
        <v>899</v>
      </c>
      <c r="L61" s="323"/>
      <c r="M61" s="324"/>
      <c r="N61" s="341"/>
    </row>
    <row r="62" spans="2:15" x14ac:dyDescent="0.2">
      <c r="B62" s="18" t="s">
        <v>1223</v>
      </c>
      <c r="C62" s="160">
        <v>6</v>
      </c>
      <c r="D62" s="135">
        <v>0.375</v>
      </c>
      <c r="E62" s="160">
        <v>3.5</v>
      </c>
      <c r="F62" s="135">
        <v>0.5</v>
      </c>
      <c r="G62" s="135">
        <v>1.0625</v>
      </c>
      <c r="H62" s="135">
        <v>0.5</v>
      </c>
      <c r="I62" s="160">
        <v>0.875</v>
      </c>
      <c r="J62" s="160" t="s">
        <v>899</v>
      </c>
      <c r="K62" s="135" t="s">
        <v>899</v>
      </c>
      <c r="L62" s="123">
        <f>(C62*2-F62*2+(E62*4)-(D62*2))*12/144</f>
        <v>2.0208333333333335</v>
      </c>
      <c r="M62" s="281">
        <f t="shared" si="0"/>
        <v>0.61595000093624408</v>
      </c>
      <c r="N62" s="281">
        <f t="shared" si="1"/>
        <v>26.78695279662168</v>
      </c>
      <c r="O62">
        <v>18</v>
      </c>
    </row>
    <row r="63" spans="2:15" x14ac:dyDescent="0.2">
      <c r="B63" s="131" t="s">
        <v>1224</v>
      </c>
      <c r="C63" s="134">
        <v>6</v>
      </c>
      <c r="D63" s="133">
        <v>0.3125</v>
      </c>
      <c r="E63" s="134">
        <v>3.5</v>
      </c>
      <c r="F63" s="133">
        <v>0.375</v>
      </c>
      <c r="G63" s="133">
        <v>0.875</v>
      </c>
      <c r="H63" s="133">
        <v>0.375</v>
      </c>
      <c r="I63" s="134">
        <v>0.875</v>
      </c>
      <c r="J63" s="134" t="s">
        <v>899</v>
      </c>
      <c r="K63" s="133" t="s">
        <v>899</v>
      </c>
      <c r="L63" s="320">
        <f>(C63*2-F63*2+(E63*4)-(D63*2))*12/144</f>
        <v>2.0520833333333335</v>
      </c>
      <c r="M63" s="340">
        <f t="shared" si="0"/>
        <v>0.62547500095072217</v>
      </c>
      <c r="N63" s="281">
        <f t="shared" si="1"/>
        <v>22.768909877128429</v>
      </c>
      <c r="O63">
        <v>15.3</v>
      </c>
    </row>
    <row r="64" spans="2:15" x14ac:dyDescent="0.2">
      <c r="B64" s="314"/>
      <c r="C64" s="322"/>
      <c r="D64" s="322"/>
      <c r="E64" s="322"/>
      <c r="F64" s="322"/>
      <c r="G64" s="322"/>
      <c r="H64" s="322"/>
      <c r="I64" s="322"/>
      <c r="J64" s="322"/>
      <c r="K64" s="322"/>
      <c r="L64" s="323"/>
      <c r="M64" s="324"/>
      <c r="N64" s="341"/>
    </row>
    <row r="65" spans="2:15" x14ac:dyDescent="0.2">
      <c r="B65" s="18" t="s">
        <v>1219</v>
      </c>
      <c r="C65" s="160">
        <v>6</v>
      </c>
      <c r="D65" s="135">
        <v>0.375</v>
      </c>
      <c r="E65" s="160">
        <v>3</v>
      </c>
      <c r="F65" s="135">
        <v>0.5</v>
      </c>
      <c r="G65" s="135">
        <v>1.0625</v>
      </c>
      <c r="H65" s="135">
        <v>0.5</v>
      </c>
      <c r="I65" s="160">
        <v>0.75</v>
      </c>
      <c r="J65" s="160" t="s">
        <v>899</v>
      </c>
      <c r="K65" s="135" t="s">
        <v>899</v>
      </c>
      <c r="L65" s="123">
        <f>(C65*2-F65*2+(E65*4)-(D65*2))*12/144</f>
        <v>1.8541666666666667</v>
      </c>
      <c r="M65" s="281">
        <f t="shared" si="0"/>
        <v>0.56515000085902811</v>
      </c>
      <c r="N65" s="281">
        <f t="shared" si="1"/>
        <v>24.257073921385192</v>
      </c>
      <c r="O65">
        <v>16.3</v>
      </c>
    </row>
    <row r="66" spans="2:15" x14ac:dyDescent="0.2">
      <c r="B66" s="131" t="s">
        <v>1220</v>
      </c>
      <c r="C66" s="134">
        <v>6</v>
      </c>
      <c r="D66" s="133">
        <v>0.3125</v>
      </c>
      <c r="E66" s="134">
        <v>3</v>
      </c>
      <c r="F66" s="133">
        <v>0.5</v>
      </c>
      <c r="G66" s="133">
        <v>1.0625</v>
      </c>
      <c r="H66" s="133">
        <v>0.5</v>
      </c>
      <c r="I66" s="134">
        <v>0.75</v>
      </c>
      <c r="J66" s="134" t="s">
        <v>899</v>
      </c>
      <c r="K66" s="133" t="s">
        <v>899</v>
      </c>
      <c r="L66" s="320">
        <f>(C66*2-F66*2+(E66*4)-(D66*2))*12/144</f>
        <v>1.8645833333333333</v>
      </c>
      <c r="M66" s="340">
        <f t="shared" si="0"/>
        <v>0.56832500086385407</v>
      </c>
      <c r="N66" s="281">
        <f t="shared" si="1"/>
        <v>22.471277068277079</v>
      </c>
      <c r="O66">
        <v>15.1</v>
      </c>
    </row>
    <row r="67" spans="2:15" x14ac:dyDescent="0.2">
      <c r="B67" s="314"/>
      <c r="C67" s="322"/>
      <c r="D67" s="322"/>
      <c r="E67" s="322"/>
      <c r="F67" s="322"/>
      <c r="G67" s="322"/>
      <c r="H67" s="322"/>
      <c r="I67" s="322"/>
      <c r="J67" s="322"/>
      <c r="K67" s="322"/>
      <c r="L67" s="322"/>
      <c r="M67" s="324"/>
      <c r="N67" s="341"/>
    </row>
    <row r="68" spans="2:15" x14ac:dyDescent="0.2">
      <c r="B68" s="131" t="s">
        <v>1221</v>
      </c>
      <c r="C68" s="134">
        <v>6</v>
      </c>
      <c r="D68" s="133">
        <v>0.3125</v>
      </c>
      <c r="E68" s="134">
        <v>2.5</v>
      </c>
      <c r="F68" s="133">
        <v>0.375</v>
      </c>
      <c r="G68" s="133">
        <v>0.8125</v>
      </c>
      <c r="H68" s="133">
        <v>0.375</v>
      </c>
      <c r="I68" s="134">
        <v>0.625</v>
      </c>
      <c r="J68" s="134" t="s">
        <v>899</v>
      </c>
      <c r="K68" s="133" t="s">
        <v>899</v>
      </c>
      <c r="L68" s="320">
        <f>(C68*2-F68*2+(E68*4)-(D68*2))*12/144</f>
        <v>1.71875</v>
      </c>
      <c r="M68" s="340">
        <f t="shared" si="0"/>
        <v>0.52387500079629012</v>
      </c>
      <c r="N68" s="281">
        <f t="shared" si="1"/>
        <v>17.85796853108112</v>
      </c>
      <c r="O68">
        <v>12</v>
      </c>
    </row>
    <row r="69" spans="2:15" x14ac:dyDescent="0.2">
      <c r="B69" s="314" t="s">
        <v>899</v>
      </c>
      <c r="C69" s="322" t="s">
        <v>899</v>
      </c>
      <c r="D69" s="322" t="s">
        <v>899</v>
      </c>
      <c r="E69" s="322" t="s">
        <v>899</v>
      </c>
      <c r="F69" s="322" t="s">
        <v>899</v>
      </c>
      <c r="G69" s="322" t="s">
        <v>899</v>
      </c>
      <c r="H69" s="322" t="s">
        <v>899</v>
      </c>
      <c r="I69" s="322"/>
      <c r="J69" s="322" t="s">
        <v>899</v>
      </c>
      <c r="K69" s="322" t="s">
        <v>899</v>
      </c>
      <c r="L69" s="322" t="s">
        <v>899</v>
      </c>
      <c r="M69" s="324"/>
      <c r="N69" s="341"/>
    </row>
    <row r="70" spans="2:15" x14ac:dyDescent="0.2">
      <c r="B70" s="137"/>
      <c r="C70" s="137"/>
      <c r="D70" s="137"/>
      <c r="E70" s="137"/>
      <c r="F70" s="137"/>
      <c r="G70" s="137"/>
      <c r="H70" s="137"/>
      <c r="I70" s="137"/>
      <c r="J70" s="137"/>
      <c r="K70" s="137"/>
      <c r="L70" s="137"/>
    </row>
    <row r="71" spans="2:15" x14ac:dyDescent="0.2">
      <c r="B71" s="137"/>
      <c r="C71" s="137"/>
      <c r="D71" s="137"/>
      <c r="E71" s="137"/>
      <c r="F71" s="137"/>
      <c r="G71" s="137"/>
      <c r="H71" s="137"/>
      <c r="I71" s="137"/>
      <c r="J71" s="137"/>
      <c r="K71" s="137"/>
      <c r="L71" s="137"/>
    </row>
    <row r="72" spans="2:15" x14ac:dyDescent="0.2">
      <c r="B72" s="137"/>
      <c r="C72" s="137"/>
      <c r="D72" s="137"/>
      <c r="E72" s="137"/>
      <c r="F72" s="137"/>
      <c r="G72" s="137"/>
      <c r="H72" s="137"/>
      <c r="I72" s="137"/>
      <c r="J72" s="137"/>
      <c r="K72" s="137"/>
      <c r="L72" s="137"/>
    </row>
    <row r="73" spans="2:15" x14ac:dyDescent="0.2">
      <c r="B73" s="137"/>
      <c r="C73" s="137"/>
      <c r="D73" s="137"/>
      <c r="E73" s="137"/>
      <c r="F73" s="137"/>
      <c r="G73" s="137"/>
      <c r="H73" s="137"/>
      <c r="I73" s="137"/>
      <c r="J73" s="137"/>
      <c r="K73" s="137"/>
      <c r="L73" s="137"/>
    </row>
    <row r="74" spans="2:15" x14ac:dyDescent="0.2">
      <c r="B74" s="137"/>
      <c r="C74" s="137"/>
      <c r="D74" s="137"/>
      <c r="E74" s="137"/>
      <c r="F74" s="137"/>
      <c r="G74" s="137"/>
      <c r="H74" s="137"/>
      <c r="I74" s="137"/>
      <c r="J74" s="137"/>
      <c r="K74" s="137"/>
    </row>
    <row r="75" spans="2:15" x14ac:dyDescent="0.2">
      <c r="B75" s="137"/>
      <c r="C75" s="137"/>
      <c r="D75" s="137"/>
      <c r="E75" s="137"/>
      <c r="F75" s="137"/>
      <c r="G75" s="137"/>
      <c r="H75" s="137"/>
      <c r="I75" s="137"/>
      <c r="J75" s="137"/>
      <c r="K75" s="137"/>
    </row>
    <row r="76" spans="2:15" x14ac:dyDescent="0.2">
      <c r="B76" s="137"/>
      <c r="C76" s="137"/>
      <c r="D76" s="137"/>
      <c r="E76" s="137"/>
      <c r="F76" s="137"/>
      <c r="G76" s="137"/>
      <c r="H76" s="137"/>
      <c r="I76" s="137"/>
      <c r="J76" s="137"/>
      <c r="K76" s="137"/>
    </row>
    <row r="77" spans="2:15" x14ac:dyDescent="0.2">
      <c r="B77" s="137"/>
      <c r="C77" s="137"/>
      <c r="D77" s="137"/>
      <c r="E77" s="137"/>
      <c r="F77" s="137"/>
      <c r="G77" s="137"/>
      <c r="H77" s="137"/>
      <c r="I77" s="137"/>
      <c r="J77" s="137"/>
      <c r="K77" s="137"/>
    </row>
    <row r="78" spans="2:15" x14ac:dyDescent="0.2">
      <c r="B78" s="137"/>
      <c r="C78" s="137"/>
      <c r="D78" s="137"/>
      <c r="E78" s="137"/>
      <c r="F78" s="137"/>
      <c r="G78" s="137"/>
      <c r="H78" s="137"/>
      <c r="I78" s="137"/>
      <c r="J78" s="137"/>
      <c r="K78" s="137"/>
    </row>
  </sheetData>
  <sheetProtection password="CDD2" sheet="1" objects="1" scenarios="1"/>
  <pageMargins left="0.75" right="0.75" top="1" bottom="1" header="0.5" footer="0.5"/>
  <pageSetup orientation="portrait" verticalDpi="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Y188"/>
  <sheetViews>
    <sheetView showGridLines="0" zoomScale="90" workbookViewId="0">
      <pane xSplit="16" ySplit="20" topLeftCell="Q21" activePane="bottomRight" state="frozen"/>
      <selection pane="topRight" activeCell="Q1" sqref="Q1"/>
      <selection pane="bottomLeft" activeCell="A21" sqref="A21"/>
      <selection pane="bottomRight" activeCell="A21" sqref="A21"/>
    </sheetView>
  </sheetViews>
  <sheetFormatPr defaultRowHeight="12.75" x14ac:dyDescent="0.2"/>
  <cols>
    <col min="1" max="1" width="2" customWidth="1"/>
    <col min="2" max="2" width="8.7109375" customWidth="1"/>
    <col min="3" max="3" width="7.42578125" customWidth="1"/>
    <col min="4" max="4" width="8.42578125" customWidth="1"/>
    <col min="5" max="5" width="11.7109375" customWidth="1"/>
    <col min="6" max="6" width="10.28515625" customWidth="1"/>
    <col min="7" max="7" width="10.85546875" customWidth="1"/>
    <col min="8" max="8" width="9.28515625" customWidth="1"/>
    <col min="9" max="9" width="7.42578125" customWidth="1"/>
    <col min="10" max="10" width="11.5703125" customWidth="1"/>
    <col min="13" max="13" width="9.85546875" customWidth="1"/>
    <col min="14" max="14" width="9.7109375" customWidth="1"/>
    <col min="15" max="15" width="10.140625" customWidth="1"/>
    <col min="16" max="16" width="10.42578125" customWidth="1"/>
    <col min="17" max="17" width="4.42578125" customWidth="1"/>
    <col min="18" max="18" width="7.28515625" customWidth="1"/>
    <col min="19" max="19" width="5.42578125" customWidth="1"/>
    <col min="20" max="20" width="0.140625" customWidth="1"/>
    <col min="21" max="21" width="6.140625" hidden="1" customWidth="1"/>
    <col min="22" max="22" width="6.42578125" hidden="1" customWidth="1"/>
    <col min="23" max="23" width="4.140625" hidden="1" customWidth="1"/>
    <col min="24" max="24" width="4.42578125" hidden="1" customWidth="1"/>
    <col min="25" max="25" width="5.140625" customWidth="1"/>
    <col min="26" max="26" width="5.5703125" customWidth="1"/>
    <col min="31" max="31" width="9.7109375" customWidth="1"/>
    <col min="34" max="34" width="14.42578125" customWidth="1"/>
    <col min="44" max="44" width="2.140625" customWidth="1"/>
    <col min="45" max="45" width="2.28515625" customWidth="1"/>
    <col min="46" max="46" width="3.28515625" customWidth="1"/>
    <col min="47" max="47" width="4" customWidth="1"/>
    <col min="48" max="48" width="3.140625" customWidth="1"/>
    <col min="49" max="49" width="4.7109375" customWidth="1"/>
    <col min="50" max="50" width="6.7109375" customWidth="1"/>
  </cols>
  <sheetData>
    <row r="1" spans="2:19" ht="20.25" x14ac:dyDescent="0.3">
      <c r="B1" s="197" t="s">
        <v>1474</v>
      </c>
      <c r="G1" s="198" t="s">
        <v>1476</v>
      </c>
    </row>
    <row r="2" spans="2:19" x14ac:dyDescent="0.2">
      <c r="B2" s="31"/>
      <c r="C2" s="31"/>
      <c r="D2" s="31"/>
      <c r="E2" s="31"/>
      <c r="F2" s="31"/>
      <c r="G2" s="30"/>
      <c r="H2" s="31"/>
      <c r="I2" s="31"/>
      <c r="J2" s="31"/>
      <c r="K2" s="31"/>
      <c r="L2" s="31"/>
      <c r="M2" s="31"/>
      <c r="N2" s="31"/>
      <c r="O2" s="31"/>
    </row>
    <row r="3" spans="2:19" x14ac:dyDescent="0.2">
      <c r="B3" s="116">
        <f ca="1">NOW()</f>
        <v>42899.605034722219</v>
      </c>
    </row>
    <row r="4" spans="2:19" x14ac:dyDescent="0.2">
      <c r="B4" s="117"/>
    </row>
    <row r="6" spans="2:19" x14ac:dyDescent="0.2">
      <c r="B6" s="31"/>
      <c r="C6" s="31"/>
      <c r="D6" s="31"/>
      <c r="E6" s="31"/>
      <c r="F6" s="31"/>
      <c r="G6" s="31"/>
      <c r="H6" s="31"/>
      <c r="I6" s="31"/>
      <c r="J6" s="31"/>
      <c r="K6" s="31"/>
      <c r="L6" s="32"/>
      <c r="M6" s="31"/>
      <c r="N6" s="31"/>
      <c r="O6" s="31"/>
      <c r="P6" s="31"/>
      <c r="Q6" s="31"/>
      <c r="R6" s="31"/>
      <c r="S6" s="31"/>
    </row>
    <row r="7" spans="2:19" ht="18" x14ac:dyDescent="0.25">
      <c r="B7" s="28"/>
      <c r="C7" s="28"/>
      <c r="D7" s="199" t="s">
        <v>1472</v>
      </c>
      <c r="I7" s="28"/>
      <c r="J7" s="28"/>
    </row>
    <row r="8" spans="2:19" ht="18" x14ac:dyDescent="0.25">
      <c r="L8" s="27"/>
    </row>
    <row r="9" spans="2:19" ht="18" x14ac:dyDescent="0.25">
      <c r="D9" s="199" t="s">
        <v>1473</v>
      </c>
    </row>
    <row r="11" spans="2:19" ht="18" x14ac:dyDescent="0.25">
      <c r="L11" s="27"/>
    </row>
    <row r="12" spans="2:19" ht="18" x14ac:dyDescent="0.25">
      <c r="D12" s="27"/>
    </row>
    <row r="13" spans="2:19" ht="16.5" thickBot="1" x14ac:dyDescent="0.3">
      <c r="B13" s="29" t="s">
        <v>1478</v>
      </c>
    </row>
    <row r="14" spans="2:19" ht="16.5" thickBot="1" x14ac:dyDescent="0.3">
      <c r="B14" s="390" t="s">
        <v>1475</v>
      </c>
      <c r="C14" s="54">
        <v>8</v>
      </c>
      <c r="D14" s="54">
        <v>7</v>
      </c>
      <c r="E14" s="54">
        <v>6</v>
      </c>
      <c r="F14" s="54">
        <v>5</v>
      </c>
      <c r="G14" s="54">
        <v>4</v>
      </c>
      <c r="H14" s="55">
        <v>3.5</v>
      </c>
      <c r="I14" s="54">
        <v>3</v>
      </c>
      <c r="J14" s="55">
        <v>2.5</v>
      </c>
      <c r="K14" s="56">
        <v>2</v>
      </c>
      <c r="L14" s="165">
        <v>1.75</v>
      </c>
      <c r="M14" s="165">
        <v>1.375</v>
      </c>
      <c r="N14" s="165">
        <v>1.25</v>
      </c>
      <c r="O14" s="56">
        <v>1</v>
      </c>
    </row>
    <row r="15" spans="2:19" ht="15" x14ac:dyDescent="0.25">
      <c r="B15" s="40" t="s">
        <v>1477</v>
      </c>
      <c r="C15" s="36">
        <v>4.5</v>
      </c>
      <c r="D15" s="50">
        <v>4</v>
      </c>
      <c r="E15" s="36">
        <v>3.5</v>
      </c>
      <c r="F15" s="37">
        <v>3</v>
      </c>
      <c r="G15" s="36">
        <v>2.5</v>
      </c>
      <c r="H15" s="37">
        <v>2</v>
      </c>
      <c r="I15" s="36">
        <v>1.75</v>
      </c>
      <c r="J15" s="48">
        <v>1.375</v>
      </c>
      <c r="K15" s="49">
        <v>1.125</v>
      </c>
      <c r="L15" s="49">
        <v>1</v>
      </c>
      <c r="M15" s="49">
        <v>0.875</v>
      </c>
      <c r="N15" s="49">
        <v>0.75</v>
      </c>
      <c r="O15" s="49">
        <v>0.625</v>
      </c>
    </row>
    <row r="16" spans="2:19" ht="15" x14ac:dyDescent="0.25">
      <c r="B16" s="41" t="s">
        <v>1472</v>
      </c>
      <c r="C16" s="51">
        <v>3</v>
      </c>
      <c r="D16" s="39">
        <v>2.5</v>
      </c>
      <c r="E16" s="38">
        <v>2.25</v>
      </c>
      <c r="F16" s="39">
        <v>2</v>
      </c>
      <c r="G16" s="38"/>
      <c r="H16" s="39"/>
      <c r="I16" s="38"/>
      <c r="J16" s="39"/>
      <c r="K16" s="42"/>
      <c r="L16" s="42"/>
      <c r="M16" s="42"/>
      <c r="N16" s="42"/>
      <c r="O16" s="42"/>
    </row>
    <row r="17" spans="2:51" ht="15.75" thickBot="1" x14ac:dyDescent="0.3">
      <c r="B17" s="43" t="s">
        <v>1473</v>
      </c>
      <c r="C17" s="52">
        <v>3</v>
      </c>
      <c r="D17" s="53">
        <v>3</v>
      </c>
      <c r="E17" s="44">
        <v>2.5</v>
      </c>
      <c r="F17" s="46">
        <v>1.75</v>
      </c>
      <c r="G17" s="44"/>
      <c r="H17" s="45"/>
      <c r="I17" s="44"/>
      <c r="J17" s="45"/>
      <c r="K17" s="47"/>
      <c r="L17" s="47"/>
      <c r="M17" s="47"/>
      <c r="N17" s="47"/>
      <c r="O17" s="47"/>
    </row>
    <row r="18" spans="2:51" ht="16.5" thickBot="1" x14ac:dyDescent="0.3">
      <c r="B18" s="35" t="s">
        <v>1227</v>
      </c>
      <c r="C18" s="33"/>
      <c r="D18" s="33"/>
      <c r="E18" s="34"/>
      <c r="F18" s="33"/>
      <c r="G18" s="33"/>
      <c r="H18" s="33"/>
      <c r="I18" s="33"/>
      <c r="J18" s="33"/>
    </row>
    <row r="19" spans="2:51" x14ac:dyDescent="0.2">
      <c r="B19" s="391" t="s">
        <v>894</v>
      </c>
      <c r="C19" s="392" t="s">
        <v>1226</v>
      </c>
      <c r="D19" s="392" t="s">
        <v>909</v>
      </c>
      <c r="E19" s="392" t="s">
        <v>1484</v>
      </c>
      <c r="F19" s="374" t="s">
        <v>1484</v>
      </c>
      <c r="G19" s="392" t="s">
        <v>1795</v>
      </c>
      <c r="H19" s="392" t="s">
        <v>1795</v>
      </c>
      <c r="I19" s="166"/>
      <c r="J19" s="391" t="s">
        <v>894</v>
      </c>
      <c r="K19" s="392" t="s">
        <v>1226</v>
      </c>
      <c r="L19" s="392" t="s">
        <v>909</v>
      </c>
      <c r="M19" s="392" t="s">
        <v>1484</v>
      </c>
      <c r="N19" s="374" t="s">
        <v>1484</v>
      </c>
      <c r="O19" s="392" t="s">
        <v>1795</v>
      </c>
      <c r="P19" s="392" t="s">
        <v>1795</v>
      </c>
      <c r="AA19" s="293"/>
      <c r="AB19" s="293"/>
      <c r="AC19" s="293"/>
      <c r="AD19" s="293"/>
      <c r="AE19" s="293"/>
      <c r="AF19" s="293"/>
      <c r="AG19" s="166"/>
      <c r="AH19" s="301"/>
      <c r="AI19" s="293"/>
      <c r="AJ19" s="293"/>
      <c r="AK19" s="293"/>
      <c r="AL19" s="293"/>
      <c r="AM19" s="293"/>
      <c r="AN19" s="293"/>
      <c r="AO19" s="166"/>
      <c r="AP19" s="166"/>
      <c r="AQ19" s="166"/>
      <c r="AR19" s="166"/>
      <c r="AS19" s="166"/>
      <c r="AT19" s="166"/>
      <c r="AU19" s="166"/>
      <c r="AV19" s="166"/>
      <c r="AW19" s="166"/>
      <c r="AX19" s="166"/>
      <c r="AY19" s="166"/>
    </row>
    <row r="20" spans="2:51" ht="13.5" thickBot="1" x14ac:dyDescent="0.25">
      <c r="B20" s="393"/>
      <c r="C20" s="394"/>
      <c r="D20" s="395"/>
      <c r="E20" s="395" t="s">
        <v>1794</v>
      </c>
      <c r="F20" s="381" t="s">
        <v>1813</v>
      </c>
      <c r="G20" s="395" t="s">
        <v>1796</v>
      </c>
      <c r="H20" s="396" t="s">
        <v>1797</v>
      </c>
      <c r="I20" s="292"/>
      <c r="J20" s="393"/>
      <c r="K20" s="394"/>
      <c r="L20" s="395"/>
      <c r="M20" s="395" t="s">
        <v>1794</v>
      </c>
      <c r="N20" s="381" t="s">
        <v>1813</v>
      </c>
      <c r="O20" s="395" t="s">
        <v>1796</v>
      </c>
      <c r="P20" s="396" t="s">
        <v>1797</v>
      </c>
      <c r="AA20" s="292"/>
      <c r="AB20" s="293"/>
      <c r="AC20" s="293"/>
      <c r="AD20" s="293"/>
      <c r="AE20" s="293"/>
      <c r="AF20" s="301"/>
      <c r="AG20" s="292"/>
      <c r="AH20" s="291"/>
      <c r="AI20" s="292"/>
      <c r="AJ20" s="293"/>
      <c r="AK20" s="293"/>
      <c r="AL20" s="293"/>
      <c r="AM20" s="293"/>
      <c r="AN20" s="301"/>
      <c r="AO20" s="166"/>
      <c r="AP20" s="166"/>
      <c r="AQ20" s="166"/>
      <c r="AR20" s="166"/>
      <c r="AS20" s="166"/>
      <c r="AT20" s="166"/>
      <c r="AU20" s="166"/>
      <c r="AV20" s="166"/>
      <c r="AW20" s="166"/>
      <c r="AX20" s="166"/>
      <c r="AY20" s="166"/>
    </row>
    <row r="21" spans="2:51" x14ac:dyDescent="0.2">
      <c r="B21" s="120" t="s">
        <v>1225</v>
      </c>
      <c r="C21" s="162">
        <v>0.625</v>
      </c>
      <c r="D21" s="162">
        <v>1.125</v>
      </c>
      <c r="E21" s="154">
        <v>26.3</v>
      </c>
      <c r="F21" s="278">
        <f>E21*3.2808399*0.4535924</f>
        <v>39.138714363952786</v>
      </c>
      <c r="G21" s="276">
        <f>((R21*2)+(S21*2))*12/144</f>
        <v>2.1666666666666665</v>
      </c>
      <c r="H21" s="277">
        <f t="shared" ref="H21:H84" si="0">G21*3.2808399*0.09290304</f>
        <v>0.66040000100380802</v>
      </c>
      <c r="I21" s="168"/>
      <c r="J21" s="120" t="s">
        <v>1238</v>
      </c>
      <c r="K21" s="295">
        <v>0.5</v>
      </c>
      <c r="L21" s="295">
        <v>0.9375</v>
      </c>
      <c r="M21" s="296">
        <v>11.9</v>
      </c>
      <c r="N21" s="279">
        <f>M21*3.2808399*0.4535924</f>
        <v>17.709152126655447</v>
      </c>
      <c r="O21" s="297">
        <f>((Y21*2)+(Z21*2))*12/144</f>
        <v>1.25</v>
      </c>
      <c r="P21" s="281">
        <f>O21*3.2808399*0.09290304</f>
        <v>0.38100000057912004</v>
      </c>
      <c r="R21">
        <v>9</v>
      </c>
      <c r="S21">
        <v>4</v>
      </c>
      <c r="Y21">
        <v>4</v>
      </c>
      <c r="Z21">
        <v>3.5</v>
      </c>
      <c r="AA21" s="168"/>
      <c r="AB21" s="168"/>
      <c r="AC21" s="290"/>
      <c r="AD21" s="337"/>
      <c r="AE21" s="337"/>
      <c r="AF21" s="337"/>
      <c r="AG21" s="168"/>
      <c r="AH21" s="294"/>
      <c r="AI21" s="168"/>
      <c r="AJ21" s="168"/>
      <c r="AK21" s="290"/>
      <c r="AL21" s="337"/>
      <c r="AM21" s="337"/>
      <c r="AN21" s="337"/>
      <c r="AO21" s="166"/>
      <c r="AP21" s="166"/>
      <c r="AQ21" s="166"/>
      <c r="AR21" s="166"/>
      <c r="AS21" s="166"/>
      <c r="AT21" s="166"/>
      <c r="AU21" s="166"/>
      <c r="AV21" s="166"/>
      <c r="AW21" s="166"/>
      <c r="AX21" s="166"/>
      <c r="AY21" s="166"/>
    </row>
    <row r="22" spans="2:51" x14ac:dyDescent="0.2">
      <c r="B22" s="119" t="s">
        <v>1225</v>
      </c>
      <c r="C22" s="156">
        <v>0.5625</v>
      </c>
      <c r="D22" s="156">
        <v>1.0625</v>
      </c>
      <c r="E22" s="158">
        <v>23.8</v>
      </c>
      <c r="F22" s="278">
        <f>E22*3.2808399*0.4535924</f>
        <v>35.418304253310893</v>
      </c>
      <c r="G22" s="278">
        <f>((R22*2)+(S22*2))*12/144</f>
        <v>2.1666666666666665</v>
      </c>
      <c r="H22" s="277">
        <f t="shared" si="0"/>
        <v>0.66040000100380802</v>
      </c>
      <c r="I22" s="168"/>
      <c r="J22" s="119" t="s">
        <v>1238</v>
      </c>
      <c r="K22" s="156">
        <v>0.4375</v>
      </c>
      <c r="L22" s="156">
        <v>0.875</v>
      </c>
      <c r="M22" s="158">
        <v>10.6</v>
      </c>
      <c r="N22" s="278">
        <f>M22*3.2808399*0.4535924</f>
        <v>15.774538869121656</v>
      </c>
      <c r="O22" s="277">
        <f>((Y22*2)+(Z22*2))*12/144</f>
        <v>1.25</v>
      </c>
      <c r="P22" s="277">
        <f>O22*3.2808399*0.09290304</f>
        <v>0.38100000057912004</v>
      </c>
      <c r="R22">
        <v>9</v>
      </c>
      <c r="S22">
        <v>4</v>
      </c>
      <c r="Y22">
        <v>4</v>
      </c>
      <c r="Z22">
        <v>3.5</v>
      </c>
      <c r="AA22" s="168"/>
      <c r="AB22" s="168"/>
      <c r="AC22" s="290"/>
      <c r="AD22" s="337"/>
      <c r="AE22" s="337"/>
      <c r="AF22" s="337"/>
      <c r="AG22" s="168"/>
      <c r="AH22" s="294"/>
      <c r="AI22" s="168"/>
      <c r="AJ22" s="168"/>
      <c r="AK22" s="290"/>
      <c r="AL22" s="337"/>
      <c r="AM22" s="337"/>
      <c r="AN22" s="337"/>
      <c r="AO22" s="166"/>
      <c r="AP22" s="166"/>
      <c r="AQ22" s="166"/>
      <c r="AR22" s="166"/>
      <c r="AS22" s="166"/>
      <c r="AT22" s="166"/>
      <c r="AU22" s="166"/>
      <c r="AV22" s="166"/>
      <c r="AW22" s="166"/>
      <c r="AX22" s="166"/>
      <c r="AY22" s="166"/>
    </row>
    <row r="23" spans="2:51" x14ac:dyDescent="0.2">
      <c r="B23" s="118" t="s">
        <v>1225</v>
      </c>
      <c r="C23" s="357">
        <v>0.5</v>
      </c>
      <c r="D23" s="357">
        <v>1</v>
      </c>
      <c r="E23" s="358">
        <v>21.3</v>
      </c>
      <c r="F23" s="332">
        <f>E23*3.2808399*0.4535924</f>
        <v>31.697894142668993</v>
      </c>
      <c r="G23" s="311">
        <f>((R23*2)+(S23*2))*12/144</f>
        <v>2.1666666666666665</v>
      </c>
      <c r="H23" s="277">
        <f t="shared" si="0"/>
        <v>0.66040000100380802</v>
      </c>
      <c r="I23" s="168"/>
      <c r="J23" s="120" t="s">
        <v>1238</v>
      </c>
      <c r="K23" s="14">
        <v>0.375</v>
      </c>
      <c r="L23" s="14">
        <v>0.8125</v>
      </c>
      <c r="M23" s="124">
        <v>9.1</v>
      </c>
      <c r="N23" s="321">
        <f>M23*3.2808399*0.4535924</f>
        <v>13.542292802736517</v>
      </c>
      <c r="O23" s="226">
        <f>((Y23*2)+(Z23*2))*12/144</f>
        <v>1.25</v>
      </c>
      <c r="P23" s="281">
        <f>O23*3.2808399*0.09290304</f>
        <v>0.38100000057912004</v>
      </c>
      <c r="R23">
        <v>9</v>
      </c>
      <c r="S23">
        <v>4</v>
      </c>
      <c r="Y23">
        <v>4</v>
      </c>
      <c r="Z23">
        <v>3.5</v>
      </c>
      <c r="AA23" s="168"/>
      <c r="AB23" s="168"/>
      <c r="AC23" s="290"/>
      <c r="AD23" s="337"/>
      <c r="AE23" s="337"/>
      <c r="AF23" s="337"/>
      <c r="AG23" s="168"/>
      <c r="AH23" s="294"/>
      <c r="AI23" s="168"/>
      <c r="AJ23" s="168"/>
      <c r="AK23" s="290"/>
      <c r="AL23" s="337"/>
      <c r="AM23" s="337"/>
      <c r="AN23" s="337"/>
      <c r="AO23" s="166"/>
      <c r="AP23" s="166"/>
      <c r="AQ23" s="166"/>
      <c r="AR23" s="166"/>
      <c r="AS23" s="166"/>
      <c r="AT23" s="166"/>
      <c r="AU23" s="166"/>
      <c r="AV23" s="166"/>
      <c r="AW23" s="166"/>
      <c r="AX23" s="166"/>
      <c r="AY23" s="166"/>
    </row>
    <row r="24" spans="2:51" x14ac:dyDescent="0.2">
      <c r="B24" s="360"/>
      <c r="C24" s="322"/>
      <c r="D24" s="322"/>
      <c r="E24" s="323"/>
      <c r="F24" s="324"/>
      <c r="G24" s="343"/>
      <c r="H24" s="361"/>
      <c r="I24" s="168"/>
      <c r="J24" s="119" t="s">
        <v>1238</v>
      </c>
      <c r="K24" s="14">
        <v>0.3125</v>
      </c>
      <c r="L24" s="14">
        <v>0.75</v>
      </c>
      <c r="M24" s="124">
        <v>7.7</v>
      </c>
      <c r="N24" s="321">
        <f>M24*3.2808399*0.4535924</f>
        <v>11.458863140777053</v>
      </c>
      <c r="O24" s="226">
        <f>((Y24*2)+(Z24*2))*12/144</f>
        <v>1.25</v>
      </c>
      <c r="P24" s="281">
        <f>O24*3.2808399*0.09290304</f>
        <v>0.38100000057912004</v>
      </c>
      <c r="Y24">
        <v>4</v>
      </c>
      <c r="Z24">
        <v>3.5</v>
      </c>
      <c r="AA24" s="168"/>
      <c r="AB24" s="168"/>
      <c r="AC24" s="290"/>
      <c r="AD24" s="337"/>
      <c r="AE24" s="166"/>
      <c r="AF24" s="294"/>
      <c r="AG24" s="168"/>
      <c r="AH24" s="294"/>
      <c r="AI24" s="168"/>
      <c r="AJ24" s="168"/>
      <c r="AK24" s="290"/>
      <c r="AL24" s="337"/>
      <c r="AM24" s="337"/>
      <c r="AN24" s="337"/>
      <c r="AO24" s="166"/>
      <c r="AP24" s="166"/>
      <c r="AQ24" s="166"/>
      <c r="AR24" s="166"/>
      <c r="AS24" s="166"/>
      <c r="AT24" s="166"/>
      <c r="AU24" s="166"/>
      <c r="AV24" s="166"/>
      <c r="AW24" s="166"/>
      <c r="AX24" s="166"/>
      <c r="AY24" s="166"/>
    </row>
    <row r="25" spans="2:51" x14ac:dyDescent="0.2">
      <c r="B25" s="26" t="s">
        <v>1228</v>
      </c>
      <c r="C25" s="295">
        <v>1.125</v>
      </c>
      <c r="D25" s="295">
        <v>1.75</v>
      </c>
      <c r="E25" s="296">
        <v>56.9</v>
      </c>
      <c r="F25" s="281">
        <f t="shared" ref="F25:F88" si="1">E25*3.2808399*0.4535924</f>
        <v>84.676534118209659</v>
      </c>
      <c r="G25" s="359">
        <f t="shared" ref="G25:G31" si="2">((R25*2)+(S25*2))*12/144</f>
        <v>2.6666666666666665</v>
      </c>
      <c r="H25" s="281">
        <f t="shared" si="0"/>
        <v>0.81280000123545593</v>
      </c>
      <c r="I25" s="168"/>
      <c r="J25" s="118" t="s">
        <v>1238</v>
      </c>
      <c r="K25" s="362">
        <v>0.25</v>
      </c>
      <c r="L25" s="362">
        <v>0.6875</v>
      </c>
      <c r="M25" s="363">
        <v>6.2</v>
      </c>
      <c r="N25" s="321">
        <f>M25*3.2808399*0.4535924</f>
        <v>9.2266170743919123</v>
      </c>
      <c r="O25" s="364">
        <f>((Y25*2)+(Z25*2))*12/144</f>
        <v>1.25</v>
      </c>
      <c r="P25" s="281">
        <f>O25*3.2808399*0.09290304</f>
        <v>0.38100000057912004</v>
      </c>
      <c r="R25">
        <v>8</v>
      </c>
      <c r="S25">
        <v>8</v>
      </c>
      <c r="Y25">
        <v>4</v>
      </c>
      <c r="Z25">
        <v>3.5</v>
      </c>
      <c r="AA25" s="168"/>
      <c r="AB25" s="168"/>
      <c r="AC25" s="290"/>
      <c r="AD25" s="337"/>
      <c r="AE25" s="337"/>
      <c r="AF25" s="337"/>
      <c r="AG25" s="168"/>
      <c r="AH25" s="294"/>
      <c r="AI25" s="168"/>
      <c r="AJ25" s="168"/>
      <c r="AK25" s="290"/>
      <c r="AL25" s="337"/>
      <c r="AM25" s="337"/>
      <c r="AN25" s="337"/>
      <c r="AO25" s="166"/>
      <c r="AP25" s="166"/>
      <c r="AQ25" s="166"/>
      <c r="AR25" s="166"/>
      <c r="AS25" s="166"/>
      <c r="AT25" s="166"/>
      <c r="AU25" s="166"/>
      <c r="AV25" s="166"/>
      <c r="AW25" s="166"/>
      <c r="AX25" s="166"/>
      <c r="AY25" s="166"/>
    </row>
    <row r="26" spans="2:51" x14ac:dyDescent="0.2">
      <c r="B26" s="26" t="s">
        <v>1228</v>
      </c>
      <c r="C26" s="14">
        <v>1</v>
      </c>
      <c r="D26" s="14">
        <v>1.625</v>
      </c>
      <c r="E26" s="124">
        <v>51</v>
      </c>
      <c r="F26" s="279">
        <f t="shared" si="1"/>
        <v>75.896366257094769</v>
      </c>
      <c r="G26" s="226">
        <f t="shared" si="2"/>
        <v>2.6666666666666665</v>
      </c>
      <c r="H26" s="281">
        <f t="shared" si="0"/>
        <v>0.81280000123545593</v>
      </c>
      <c r="I26" s="168"/>
      <c r="J26" s="360"/>
      <c r="K26" s="322"/>
      <c r="L26" s="322"/>
      <c r="M26" s="323"/>
      <c r="N26" s="323"/>
      <c r="O26" s="365"/>
      <c r="P26" s="361"/>
      <c r="R26">
        <v>8</v>
      </c>
      <c r="S26">
        <v>8</v>
      </c>
      <c r="AA26" s="168"/>
      <c r="AB26" s="168"/>
      <c r="AC26" s="290"/>
      <c r="AD26" s="337"/>
      <c r="AE26" s="337"/>
      <c r="AF26" s="337"/>
      <c r="AG26" s="168"/>
      <c r="AH26" s="294"/>
      <c r="AI26" s="168"/>
      <c r="AJ26" s="168"/>
      <c r="AK26" s="290"/>
      <c r="AL26" s="290"/>
      <c r="AM26" s="294"/>
      <c r="AN26" s="294"/>
      <c r="AO26" s="166"/>
      <c r="AP26" s="166"/>
      <c r="AQ26" s="166"/>
      <c r="AR26" s="166"/>
      <c r="AS26" s="166"/>
      <c r="AT26" s="166"/>
      <c r="AU26" s="166"/>
      <c r="AV26" s="166"/>
      <c r="AW26" s="166"/>
      <c r="AX26" s="166"/>
      <c r="AY26" s="166"/>
    </row>
    <row r="27" spans="2:51" x14ac:dyDescent="0.2">
      <c r="B27" s="26" t="s">
        <v>1228</v>
      </c>
      <c r="C27" s="14">
        <v>0.875</v>
      </c>
      <c r="D27" s="14">
        <v>1.5</v>
      </c>
      <c r="E27" s="124">
        <v>45</v>
      </c>
      <c r="F27" s="279">
        <f t="shared" si="1"/>
        <v>66.967381991554205</v>
      </c>
      <c r="G27" s="226">
        <f t="shared" si="2"/>
        <v>2.6666666666666665</v>
      </c>
      <c r="H27" s="281">
        <f t="shared" si="0"/>
        <v>0.81280000123545593</v>
      </c>
      <c r="I27" s="168"/>
      <c r="J27" s="26" t="s">
        <v>1239</v>
      </c>
      <c r="K27" s="295">
        <v>0.5</v>
      </c>
      <c r="L27" s="295">
        <v>0.9375</v>
      </c>
      <c r="M27" s="296">
        <v>11.1</v>
      </c>
      <c r="N27" s="340">
        <f>M27*3.2808399*0.4535924</f>
        <v>16.518620891250038</v>
      </c>
      <c r="O27" s="359">
        <f>((Y27*2)+(Z27*2))*12/144</f>
        <v>1.1666666666666667</v>
      </c>
      <c r="P27" s="281">
        <f>O27*3.2808399*0.09290304</f>
        <v>0.35560000054051205</v>
      </c>
      <c r="R27">
        <v>8</v>
      </c>
      <c r="S27">
        <v>8</v>
      </c>
      <c r="Y27">
        <v>4</v>
      </c>
      <c r="Z27">
        <v>3</v>
      </c>
      <c r="AA27" s="168"/>
      <c r="AB27" s="168"/>
      <c r="AC27" s="290"/>
      <c r="AD27" s="337"/>
      <c r="AE27" s="337"/>
      <c r="AF27" s="337"/>
      <c r="AG27" s="168"/>
      <c r="AH27" s="294"/>
      <c r="AI27" s="168"/>
      <c r="AJ27" s="168"/>
      <c r="AK27" s="290"/>
      <c r="AL27" s="337"/>
      <c r="AM27" s="337"/>
      <c r="AN27" s="337"/>
      <c r="AO27" s="166"/>
      <c r="AP27" s="166"/>
      <c r="AQ27" s="166"/>
      <c r="AR27" s="166"/>
      <c r="AS27" s="166"/>
      <c r="AT27" s="166"/>
      <c r="AU27" s="166"/>
      <c r="AV27" s="166"/>
      <c r="AW27" s="166"/>
      <c r="AX27" s="166"/>
      <c r="AY27" s="166"/>
    </row>
    <row r="28" spans="2:51" x14ac:dyDescent="0.2">
      <c r="B28" s="26" t="s">
        <v>1228</v>
      </c>
      <c r="C28" s="14">
        <v>0.75</v>
      </c>
      <c r="D28" s="14">
        <v>1.375</v>
      </c>
      <c r="E28" s="124">
        <v>38.9</v>
      </c>
      <c r="F28" s="279">
        <f t="shared" si="1"/>
        <v>57.889581321587968</v>
      </c>
      <c r="G28" s="226">
        <f t="shared" si="2"/>
        <v>2.6666666666666665</v>
      </c>
      <c r="H28" s="281">
        <f t="shared" si="0"/>
        <v>0.81280000123545593</v>
      </c>
      <c r="I28" s="168"/>
      <c r="J28" s="26" t="s">
        <v>1239</v>
      </c>
      <c r="K28" s="156">
        <v>0.4375</v>
      </c>
      <c r="L28" s="156">
        <v>0.875</v>
      </c>
      <c r="M28" s="158">
        <v>9.8000000000000007</v>
      </c>
      <c r="N28" s="278">
        <f>M28*3.2808399*0.4535924</f>
        <v>14.584007633716249</v>
      </c>
      <c r="O28" s="277">
        <f>((Y28*2)+(Z28*2))*12/144</f>
        <v>1.1666666666666667</v>
      </c>
      <c r="P28" s="277">
        <f>O28*3.2808399*0.09290304</f>
        <v>0.35560000054051205</v>
      </c>
      <c r="R28">
        <v>8</v>
      </c>
      <c r="S28">
        <v>8</v>
      </c>
      <c r="Y28">
        <v>4</v>
      </c>
      <c r="Z28">
        <v>3</v>
      </c>
      <c r="AA28" s="168"/>
      <c r="AB28" s="168"/>
      <c r="AC28" s="290"/>
      <c r="AD28" s="337"/>
      <c r="AE28" s="337"/>
      <c r="AF28" s="337"/>
      <c r="AG28" s="168"/>
      <c r="AH28" s="294"/>
      <c r="AI28" s="168"/>
      <c r="AJ28" s="168"/>
      <c r="AK28" s="290"/>
      <c r="AL28" s="337"/>
      <c r="AM28" s="337"/>
      <c r="AN28" s="337"/>
      <c r="AO28" s="166"/>
      <c r="AP28" s="166"/>
      <c r="AQ28" s="166"/>
      <c r="AR28" s="166"/>
      <c r="AS28" s="166"/>
      <c r="AT28" s="166"/>
      <c r="AU28" s="166"/>
      <c r="AV28" s="166"/>
      <c r="AW28" s="166"/>
      <c r="AX28" s="166"/>
      <c r="AY28" s="166"/>
    </row>
    <row r="29" spans="2:51" x14ac:dyDescent="0.2">
      <c r="B29" s="26" t="s">
        <v>1228</v>
      </c>
      <c r="C29" s="14">
        <v>0.625</v>
      </c>
      <c r="D29" s="14">
        <v>1.25</v>
      </c>
      <c r="E29" s="124">
        <v>32.700000000000003</v>
      </c>
      <c r="F29" s="279">
        <f t="shared" si="1"/>
        <v>48.662964247196065</v>
      </c>
      <c r="G29" s="226">
        <f t="shared" si="2"/>
        <v>2.6666666666666665</v>
      </c>
      <c r="H29" s="281">
        <f t="shared" si="0"/>
        <v>0.81280000123545593</v>
      </c>
      <c r="I29" s="168"/>
      <c r="J29" s="26" t="s">
        <v>1239</v>
      </c>
      <c r="K29" s="14">
        <v>0.375</v>
      </c>
      <c r="L29" s="14">
        <v>0.8125</v>
      </c>
      <c r="M29" s="124">
        <v>8.5</v>
      </c>
      <c r="N29" s="321">
        <f>M29*3.2808399*0.4535924</f>
        <v>12.649394376182462</v>
      </c>
      <c r="O29" s="226">
        <f>((Y29*2)+(Z29*2))*12/144</f>
        <v>1.1666666666666667</v>
      </c>
      <c r="P29" s="281">
        <f>O29*3.2808399*0.09290304</f>
        <v>0.35560000054051205</v>
      </c>
      <c r="R29">
        <v>8</v>
      </c>
      <c r="S29">
        <v>8</v>
      </c>
      <c r="Y29">
        <v>4</v>
      </c>
      <c r="Z29">
        <v>3</v>
      </c>
      <c r="AA29" s="168"/>
      <c r="AB29" s="168"/>
      <c r="AC29" s="290"/>
      <c r="AD29" s="337"/>
      <c r="AE29" s="337"/>
      <c r="AF29" s="337"/>
      <c r="AG29" s="168"/>
      <c r="AH29" s="294"/>
      <c r="AI29" s="168"/>
      <c r="AJ29" s="168"/>
      <c r="AK29" s="290"/>
      <c r="AL29" s="337"/>
      <c r="AM29" s="337"/>
      <c r="AN29" s="337"/>
      <c r="AO29" s="166"/>
      <c r="AP29" s="166"/>
      <c r="AQ29" s="166"/>
      <c r="AR29" s="166"/>
      <c r="AS29" s="166"/>
      <c r="AT29" s="166"/>
      <c r="AU29" s="166"/>
      <c r="AV29" s="166"/>
      <c r="AW29" s="166"/>
      <c r="AX29" s="166"/>
      <c r="AY29" s="166"/>
    </row>
    <row r="30" spans="2:51" x14ac:dyDescent="0.2">
      <c r="B30" s="26" t="s">
        <v>1228</v>
      </c>
      <c r="C30" s="156">
        <v>0.5625</v>
      </c>
      <c r="D30" s="156">
        <v>1.1875</v>
      </c>
      <c r="E30" s="158">
        <v>29.6</v>
      </c>
      <c r="F30" s="278">
        <f t="shared" si="1"/>
        <v>44.049655710000103</v>
      </c>
      <c r="G30" s="278">
        <f t="shared" si="2"/>
        <v>2.6666666666666665</v>
      </c>
      <c r="H30" s="277">
        <f t="shared" si="0"/>
        <v>0.81280000123545593</v>
      </c>
      <c r="I30" s="168"/>
      <c r="J30" s="26" t="s">
        <v>1239</v>
      </c>
      <c r="K30" s="14">
        <v>0.3125</v>
      </c>
      <c r="L30" s="14">
        <v>0.75</v>
      </c>
      <c r="M30" s="124">
        <v>7.2</v>
      </c>
      <c r="N30" s="321">
        <f>M30*3.2808399*0.4535924</f>
        <v>10.714781118648672</v>
      </c>
      <c r="O30" s="226">
        <f>((Y30*2)+(Z30*2))*12/144</f>
        <v>1.1666666666666667</v>
      </c>
      <c r="P30" s="281">
        <f>O30*3.2808399*0.09290304</f>
        <v>0.35560000054051205</v>
      </c>
      <c r="R30">
        <v>8</v>
      </c>
      <c r="S30">
        <v>8</v>
      </c>
      <c r="Y30">
        <v>4</v>
      </c>
      <c r="Z30">
        <v>3</v>
      </c>
      <c r="AA30" s="168"/>
      <c r="AB30" s="168"/>
      <c r="AC30" s="290"/>
      <c r="AD30" s="337"/>
      <c r="AE30" s="337"/>
      <c r="AF30" s="337"/>
      <c r="AG30" s="168"/>
      <c r="AH30" s="294"/>
      <c r="AI30" s="168"/>
      <c r="AJ30" s="168"/>
      <c r="AK30" s="290"/>
      <c r="AL30" s="337"/>
      <c r="AM30" s="337"/>
      <c r="AN30" s="337"/>
      <c r="AO30" s="166"/>
      <c r="AP30" s="166"/>
      <c r="AQ30" s="166"/>
      <c r="AR30" s="166"/>
      <c r="AS30" s="166"/>
      <c r="AT30" s="166"/>
      <c r="AU30" s="166"/>
      <c r="AV30" s="166"/>
      <c r="AW30" s="166"/>
      <c r="AX30" s="166"/>
      <c r="AY30" s="166"/>
    </row>
    <row r="31" spans="2:51" x14ac:dyDescent="0.2">
      <c r="B31" s="26" t="s">
        <v>1228</v>
      </c>
      <c r="C31" s="362">
        <v>0.5</v>
      </c>
      <c r="D31" s="362">
        <v>1.125</v>
      </c>
      <c r="E31" s="363">
        <v>26.4</v>
      </c>
      <c r="F31" s="321">
        <f t="shared" si="1"/>
        <v>39.28753076837846</v>
      </c>
      <c r="G31" s="364">
        <f t="shared" si="2"/>
        <v>2.6666666666666665</v>
      </c>
      <c r="H31" s="281">
        <f t="shared" si="0"/>
        <v>0.81280000123545593</v>
      </c>
      <c r="I31" s="168"/>
      <c r="J31" s="26" t="s">
        <v>1239</v>
      </c>
      <c r="K31" s="362">
        <v>0.25</v>
      </c>
      <c r="L31" s="362">
        <v>0.6875</v>
      </c>
      <c r="M31" s="363">
        <v>5.8</v>
      </c>
      <c r="N31" s="321">
        <f>M31*3.2808399*0.4535924</f>
        <v>8.6313514566892096</v>
      </c>
      <c r="O31" s="364">
        <f>((Y31*2)+(Z31*2))*12/144</f>
        <v>1.1666666666666667</v>
      </c>
      <c r="P31" s="281">
        <f>O31*3.2808399*0.09290304</f>
        <v>0.35560000054051205</v>
      </c>
      <c r="R31">
        <v>8</v>
      </c>
      <c r="S31">
        <v>8</v>
      </c>
      <c r="Y31">
        <v>4</v>
      </c>
      <c r="Z31">
        <v>3</v>
      </c>
      <c r="AA31" s="168"/>
      <c r="AB31" s="168"/>
      <c r="AC31" s="290"/>
      <c r="AD31" s="337"/>
      <c r="AE31" s="337"/>
      <c r="AF31" s="337"/>
      <c r="AG31" s="168"/>
      <c r="AH31" s="294"/>
      <c r="AI31" s="168"/>
      <c r="AJ31" s="168"/>
      <c r="AK31" s="290"/>
      <c r="AL31" s="337"/>
      <c r="AM31" s="337"/>
      <c r="AN31" s="337"/>
      <c r="AO31" s="166"/>
      <c r="AP31" s="166"/>
      <c r="AQ31" s="166"/>
      <c r="AR31" s="166"/>
      <c r="AS31" s="166"/>
      <c r="AT31" s="166"/>
      <c r="AU31" s="166"/>
      <c r="AV31" s="166"/>
      <c r="AW31" s="166"/>
      <c r="AX31" s="166"/>
      <c r="AY31" s="166"/>
    </row>
    <row r="32" spans="2:51" x14ac:dyDescent="0.2">
      <c r="B32" s="360"/>
      <c r="C32" s="322"/>
      <c r="D32" s="322"/>
      <c r="E32" s="323"/>
      <c r="F32" s="324"/>
      <c r="G32" s="343"/>
      <c r="H32" s="361"/>
      <c r="I32" s="168"/>
      <c r="J32" s="360"/>
      <c r="K32" s="322"/>
      <c r="L32" s="322"/>
      <c r="M32" s="323"/>
      <c r="N32" s="323"/>
      <c r="O32" s="343"/>
      <c r="P32" s="361"/>
      <c r="AA32" s="168"/>
      <c r="AB32" s="168"/>
      <c r="AC32" s="290"/>
      <c r="AD32" s="337"/>
      <c r="AE32" s="166"/>
      <c r="AF32" s="294"/>
      <c r="AG32" s="168"/>
      <c r="AH32" s="294"/>
      <c r="AI32" s="168"/>
      <c r="AJ32" s="168"/>
      <c r="AK32" s="290"/>
      <c r="AL32" s="290"/>
      <c r="AM32" s="166"/>
      <c r="AN32" s="294"/>
      <c r="AO32" s="166"/>
      <c r="AP32" s="166"/>
      <c r="AQ32" s="166"/>
      <c r="AR32" s="166"/>
      <c r="AS32" s="166"/>
      <c r="AT32" s="166"/>
      <c r="AU32" s="166"/>
      <c r="AV32" s="166"/>
      <c r="AW32" s="166"/>
      <c r="AX32" s="166"/>
      <c r="AY32" s="166"/>
    </row>
    <row r="33" spans="2:51" x14ac:dyDescent="0.2">
      <c r="B33" s="26" t="s">
        <v>1229</v>
      </c>
      <c r="C33" s="295">
        <v>1</v>
      </c>
      <c r="D33" s="295">
        <v>1.5</v>
      </c>
      <c r="E33" s="296">
        <v>44.2</v>
      </c>
      <c r="F33" s="281">
        <f t="shared" si="1"/>
        <v>65.776850756148804</v>
      </c>
      <c r="G33" s="359">
        <f t="shared" ref="G33:G39" si="3">((R33*2)+(S33*2))*12/144</f>
        <v>2.3333333333333335</v>
      </c>
      <c r="H33" s="281">
        <f t="shared" si="0"/>
        <v>0.7112000010810241</v>
      </c>
      <c r="I33" s="168"/>
      <c r="J33" s="26" t="s">
        <v>1240</v>
      </c>
      <c r="K33" s="162">
        <v>0.5</v>
      </c>
      <c r="L33" s="162">
        <v>0.875</v>
      </c>
      <c r="M33" s="154">
        <v>11.1</v>
      </c>
      <c r="N33" s="277">
        <f>M33*3.2808399*0.4535924</f>
        <v>16.518620891250038</v>
      </c>
      <c r="O33" s="277">
        <f>((Y33*2)+(Z33*2))*12/144</f>
        <v>1.1666666666666667</v>
      </c>
      <c r="P33" s="277">
        <f>O33*3.2808399*0.09290304</f>
        <v>0.35560000054051205</v>
      </c>
      <c r="R33">
        <v>8</v>
      </c>
      <c r="S33">
        <v>6</v>
      </c>
      <c r="Y33">
        <v>3.5</v>
      </c>
      <c r="Z33">
        <v>3.5</v>
      </c>
      <c r="AA33" s="168"/>
      <c r="AB33" s="168"/>
      <c r="AC33" s="290"/>
      <c r="AD33" s="337"/>
      <c r="AE33" s="337"/>
      <c r="AF33" s="337"/>
      <c r="AG33" s="168"/>
      <c r="AH33" s="294"/>
      <c r="AI33" s="168"/>
      <c r="AJ33" s="168"/>
      <c r="AK33" s="290"/>
      <c r="AL33" s="337"/>
      <c r="AM33" s="337"/>
      <c r="AN33" s="337"/>
      <c r="AO33" s="166"/>
      <c r="AP33" s="166"/>
      <c r="AQ33" s="166"/>
      <c r="AR33" s="166"/>
      <c r="AS33" s="166"/>
      <c r="AT33" s="166"/>
      <c r="AU33" s="166"/>
      <c r="AV33" s="166"/>
      <c r="AW33" s="166"/>
      <c r="AX33" s="166"/>
      <c r="AY33" s="166"/>
    </row>
    <row r="34" spans="2:51" x14ac:dyDescent="0.2">
      <c r="B34" s="26" t="s">
        <v>1229</v>
      </c>
      <c r="C34" s="156">
        <v>0.875</v>
      </c>
      <c r="D34" s="156">
        <v>1.375</v>
      </c>
      <c r="E34" s="158">
        <v>39.1</v>
      </c>
      <c r="F34" s="278">
        <f t="shared" si="1"/>
        <v>58.187214130439315</v>
      </c>
      <c r="G34" s="278">
        <f t="shared" si="3"/>
        <v>2.3333333333333335</v>
      </c>
      <c r="H34" s="277">
        <f t="shared" si="0"/>
        <v>0.7112000010810241</v>
      </c>
      <c r="I34" s="168"/>
      <c r="J34" s="26" t="s">
        <v>1240</v>
      </c>
      <c r="K34" s="156">
        <v>0.4375</v>
      </c>
      <c r="L34" s="156">
        <v>0.8125</v>
      </c>
      <c r="M34" s="158">
        <v>9.8000000000000007</v>
      </c>
      <c r="N34" s="278">
        <f>M34*3.2808399*0.4535924</f>
        <v>14.584007633716249</v>
      </c>
      <c r="O34" s="277">
        <f>((Y34*2)+(Z34*2))*12/144</f>
        <v>1.1666666666666667</v>
      </c>
      <c r="P34" s="277">
        <f>O34*3.2808399*0.09290304</f>
        <v>0.35560000054051205</v>
      </c>
      <c r="R34">
        <v>8</v>
      </c>
      <c r="S34">
        <v>6</v>
      </c>
      <c r="Y34">
        <v>3.5</v>
      </c>
      <c r="Z34">
        <v>3.5</v>
      </c>
      <c r="AA34" s="168"/>
      <c r="AB34" s="168"/>
      <c r="AC34" s="290"/>
      <c r="AD34" s="337"/>
      <c r="AE34" s="337"/>
      <c r="AF34" s="337"/>
      <c r="AG34" s="168"/>
      <c r="AH34" s="294"/>
      <c r="AI34" s="168"/>
      <c r="AJ34" s="168"/>
      <c r="AK34" s="290"/>
      <c r="AL34" s="337"/>
      <c r="AM34" s="337"/>
      <c r="AN34" s="337"/>
      <c r="AO34" s="166"/>
      <c r="AP34" s="166"/>
      <c r="AQ34" s="166"/>
      <c r="AR34" s="166"/>
      <c r="AS34" s="166"/>
      <c r="AT34" s="166"/>
      <c r="AU34" s="166"/>
      <c r="AV34" s="166"/>
      <c r="AW34" s="166"/>
      <c r="AX34" s="166"/>
      <c r="AY34" s="166"/>
    </row>
    <row r="35" spans="2:51" x14ac:dyDescent="0.2">
      <c r="B35" s="26" t="s">
        <v>1229</v>
      </c>
      <c r="C35" s="14">
        <v>0.75</v>
      </c>
      <c r="D35" s="14">
        <v>1.25</v>
      </c>
      <c r="E35" s="124">
        <v>33.799999999999997</v>
      </c>
      <c r="F35" s="279">
        <f t="shared" si="1"/>
        <v>50.299944695878487</v>
      </c>
      <c r="G35" s="226">
        <f t="shared" si="3"/>
        <v>2.3333333333333335</v>
      </c>
      <c r="H35" s="281">
        <f t="shared" si="0"/>
        <v>0.7112000010810241</v>
      </c>
      <c r="I35" s="168"/>
      <c r="J35" s="26" t="s">
        <v>1240</v>
      </c>
      <c r="K35" s="14">
        <v>0.375</v>
      </c>
      <c r="L35" s="14">
        <v>0.75</v>
      </c>
      <c r="M35" s="124">
        <v>8.5</v>
      </c>
      <c r="N35" s="321">
        <f>M35*3.2808399*0.4535924</f>
        <v>12.649394376182462</v>
      </c>
      <c r="O35" s="226">
        <f>((Y35*2)+(Z35*2))*12/144</f>
        <v>1.1666666666666667</v>
      </c>
      <c r="P35" s="281">
        <f>O35*3.2808399*0.09290304</f>
        <v>0.35560000054051205</v>
      </c>
      <c r="R35">
        <v>8</v>
      </c>
      <c r="S35">
        <v>6</v>
      </c>
      <c r="Y35">
        <v>3.5</v>
      </c>
      <c r="Z35">
        <v>3.5</v>
      </c>
      <c r="AA35" s="168"/>
      <c r="AB35" s="168"/>
      <c r="AC35" s="290"/>
      <c r="AD35" s="337"/>
      <c r="AE35" s="337"/>
      <c r="AF35" s="337"/>
      <c r="AG35" s="168"/>
      <c r="AH35" s="294"/>
      <c r="AI35" s="168"/>
      <c r="AJ35" s="168"/>
      <c r="AK35" s="290"/>
      <c r="AL35" s="337"/>
      <c r="AM35" s="337"/>
      <c r="AN35" s="337"/>
      <c r="AO35" s="166"/>
      <c r="AP35" s="166"/>
      <c r="AQ35" s="166"/>
      <c r="AR35" s="166"/>
      <c r="AS35" s="166"/>
      <c r="AT35" s="166"/>
      <c r="AU35" s="166"/>
      <c r="AV35" s="166"/>
      <c r="AW35" s="166"/>
      <c r="AX35" s="166"/>
      <c r="AY35" s="166"/>
    </row>
    <row r="36" spans="2:51" x14ac:dyDescent="0.2">
      <c r="B36" s="26" t="s">
        <v>1229</v>
      </c>
      <c r="C36" s="156">
        <v>0.625</v>
      </c>
      <c r="D36" s="156">
        <v>1.125</v>
      </c>
      <c r="E36" s="158">
        <v>28.5</v>
      </c>
      <c r="F36" s="278">
        <f t="shared" si="1"/>
        <v>42.412675261317659</v>
      </c>
      <c r="G36" s="278">
        <f t="shared" si="3"/>
        <v>2.3333333333333335</v>
      </c>
      <c r="H36" s="277">
        <f t="shared" si="0"/>
        <v>0.7112000010810241</v>
      </c>
      <c r="I36" s="168"/>
      <c r="J36" s="26" t="s">
        <v>1240</v>
      </c>
      <c r="K36" s="14">
        <v>0.3125</v>
      </c>
      <c r="L36" s="14">
        <v>0.6875</v>
      </c>
      <c r="M36" s="124">
        <v>7.2</v>
      </c>
      <c r="N36" s="321">
        <f>M36*3.2808399*0.4535924</f>
        <v>10.714781118648672</v>
      </c>
      <c r="O36" s="226">
        <f>((Y36*2)+(Z36*2))*12/144</f>
        <v>1.1666666666666667</v>
      </c>
      <c r="P36" s="281">
        <f>O36*3.2808399*0.09290304</f>
        <v>0.35560000054051205</v>
      </c>
      <c r="R36">
        <v>8</v>
      </c>
      <c r="S36">
        <v>6</v>
      </c>
      <c r="Y36">
        <v>3.5</v>
      </c>
      <c r="Z36">
        <v>3.5</v>
      </c>
      <c r="AA36" s="168"/>
      <c r="AB36" s="168"/>
      <c r="AC36" s="290"/>
      <c r="AD36" s="337"/>
      <c r="AE36" s="337"/>
      <c r="AF36" s="337"/>
      <c r="AG36" s="168"/>
      <c r="AH36" s="294"/>
      <c r="AI36" s="168"/>
      <c r="AJ36" s="168"/>
      <c r="AK36" s="290"/>
      <c r="AL36" s="337"/>
      <c r="AM36" s="337"/>
      <c r="AN36" s="337"/>
      <c r="AO36" s="166"/>
      <c r="AP36" s="166"/>
      <c r="AQ36" s="166"/>
      <c r="AR36" s="166"/>
      <c r="AS36" s="166"/>
      <c r="AT36" s="166"/>
      <c r="AU36" s="166"/>
      <c r="AV36" s="166"/>
      <c r="AW36" s="166"/>
      <c r="AX36" s="166"/>
      <c r="AY36" s="166"/>
    </row>
    <row r="37" spans="2:51" x14ac:dyDescent="0.2">
      <c r="B37" s="26" t="s">
        <v>1229</v>
      </c>
      <c r="C37" s="156">
        <v>0.5625</v>
      </c>
      <c r="D37" s="156">
        <v>1.0625</v>
      </c>
      <c r="E37" s="158">
        <v>25.7</v>
      </c>
      <c r="F37" s="278">
        <f t="shared" si="1"/>
        <v>38.245815937398739</v>
      </c>
      <c r="G37" s="278">
        <f t="shared" si="3"/>
        <v>2.3333333333333335</v>
      </c>
      <c r="H37" s="277">
        <f t="shared" si="0"/>
        <v>0.7112000010810241</v>
      </c>
      <c r="I37" s="168"/>
      <c r="J37" s="26" t="s">
        <v>1240</v>
      </c>
      <c r="K37" s="362">
        <v>0.25</v>
      </c>
      <c r="L37" s="362">
        <v>0.625</v>
      </c>
      <c r="M37" s="363">
        <v>5.8</v>
      </c>
      <c r="N37" s="321">
        <f>M37*3.2808399*0.4535924</f>
        <v>8.6313514566892096</v>
      </c>
      <c r="O37" s="364">
        <f>((Y37*2)+(Z37*2))*12/144</f>
        <v>1.1666666666666667</v>
      </c>
      <c r="P37" s="281">
        <f>O37*3.2808399*0.09290304</f>
        <v>0.35560000054051205</v>
      </c>
      <c r="R37">
        <v>8</v>
      </c>
      <c r="S37">
        <v>6</v>
      </c>
      <c r="Y37">
        <v>3.5</v>
      </c>
      <c r="Z37">
        <v>3.5</v>
      </c>
      <c r="AA37" s="168"/>
      <c r="AB37" s="168"/>
      <c r="AC37" s="290"/>
      <c r="AD37" s="337"/>
      <c r="AE37" s="337"/>
      <c r="AF37" s="337"/>
      <c r="AG37" s="168"/>
      <c r="AH37" s="294"/>
      <c r="AI37" s="168"/>
      <c r="AJ37" s="168"/>
      <c r="AK37" s="290"/>
      <c r="AL37" s="337"/>
      <c r="AM37" s="337"/>
      <c r="AN37" s="337"/>
      <c r="AO37" s="166"/>
      <c r="AP37" s="166"/>
      <c r="AQ37" s="166"/>
      <c r="AR37" s="166"/>
      <c r="AS37" s="166"/>
      <c r="AT37" s="166"/>
      <c r="AU37" s="166"/>
      <c r="AV37" s="166"/>
      <c r="AW37" s="166"/>
      <c r="AX37" s="166"/>
      <c r="AY37" s="166"/>
    </row>
    <row r="38" spans="2:51" x14ac:dyDescent="0.2">
      <c r="B38" s="26" t="s">
        <v>1229</v>
      </c>
      <c r="C38" s="14">
        <v>0.5</v>
      </c>
      <c r="D38" s="14">
        <v>1</v>
      </c>
      <c r="E38" s="124">
        <v>23</v>
      </c>
      <c r="F38" s="279">
        <f t="shared" si="1"/>
        <v>34.227773017905477</v>
      </c>
      <c r="G38" s="226">
        <f t="shared" si="3"/>
        <v>2.3333333333333335</v>
      </c>
      <c r="H38" s="281">
        <f>G38*3.2808399*0.09290304</f>
        <v>0.7112000010810241</v>
      </c>
      <c r="I38" s="168"/>
      <c r="J38" s="360"/>
      <c r="K38" s="322"/>
      <c r="L38" s="322"/>
      <c r="M38" s="323"/>
      <c r="N38" s="323"/>
      <c r="O38" s="343"/>
      <c r="P38" s="361"/>
      <c r="R38">
        <v>8</v>
      </c>
      <c r="S38">
        <v>6</v>
      </c>
      <c r="AA38" s="168"/>
      <c r="AB38" s="168"/>
      <c r="AC38" s="290"/>
      <c r="AD38" s="337"/>
      <c r="AE38" s="337"/>
      <c r="AF38" s="337"/>
      <c r="AG38" s="168"/>
      <c r="AH38" s="294"/>
      <c r="AI38" s="168"/>
      <c r="AJ38" s="168"/>
      <c r="AK38" s="290"/>
      <c r="AL38" s="290"/>
      <c r="AM38" s="166"/>
      <c r="AN38" s="294"/>
      <c r="AO38" s="166"/>
      <c r="AP38" s="166"/>
      <c r="AQ38" s="166"/>
      <c r="AR38" s="166"/>
      <c r="AS38" s="166"/>
      <c r="AT38" s="166"/>
      <c r="AU38" s="166"/>
      <c r="AV38" s="166"/>
      <c r="AW38" s="166"/>
      <c r="AX38" s="166"/>
      <c r="AY38" s="166"/>
    </row>
    <row r="39" spans="2:51" x14ac:dyDescent="0.2">
      <c r="B39" s="26" t="s">
        <v>1229</v>
      </c>
      <c r="C39" s="357">
        <v>0.4375</v>
      </c>
      <c r="D39" s="357">
        <v>0.9375</v>
      </c>
      <c r="E39" s="358">
        <v>20.2</v>
      </c>
      <c r="F39" s="332">
        <f t="shared" si="1"/>
        <v>30.060913693986549</v>
      </c>
      <c r="G39" s="332">
        <f t="shared" si="3"/>
        <v>2.3333333333333335</v>
      </c>
      <c r="H39" s="277">
        <f t="shared" si="0"/>
        <v>0.7112000010810241</v>
      </c>
      <c r="I39" s="168"/>
      <c r="J39" s="26" t="s">
        <v>1241</v>
      </c>
      <c r="K39" s="162">
        <v>0.5</v>
      </c>
      <c r="L39" s="162">
        <v>0.9375</v>
      </c>
      <c r="M39" s="154">
        <v>10.199999999999999</v>
      </c>
      <c r="N39" s="277">
        <f>M39*3.2808399*0.4535924</f>
        <v>15.179273251418952</v>
      </c>
      <c r="O39" s="277">
        <f>((Y39*2)+(Z39*2))*12/144</f>
        <v>1.0833333333333333</v>
      </c>
      <c r="P39" s="277">
        <f>O39*3.2808399*0.09290304</f>
        <v>0.33020000050190401</v>
      </c>
      <c r="R39">
        <v>8</v>
      </c>
      <c r="S39">
        <v>6</v>
      </c>
      <c r="Y39">
        <v>3.5</v>
      </c>
      <c r="Z39">
        <v>3</v>
      </c>
      <c r="AA39" s="168"/>
      <c r="AB39" s="168"/>
      <c r="AC39" s="290"/>
      <c r="AD39" s="337"/>
      <c r="AE39" s="337"/>
      <c r="AF39" s="337"/>
      <c r="AG39" s="168"/>
      <c r="AH39" s="294"/>
      <c r="AI39" s="168"/>
      <c r="AJ39" s="168"/>
      <c r="AK39" s="290"/>
      <c r="AL39" s="337"/>
      <c r="AM39" s="337"/>
      <c r="AN39" s="337"/>
      <c r="AO39" s="166"/>
      <c r="AP39" s="166"/>
      <c r="AQ39" s="166"/>
      <c r="AR39" s="166"/>
      <c r="AS39" s="166"/>
      <c r="AT39" s="166"/>
      <c r="AU39" s="166"/>
      <c r="AV39" s="166"/>
      <c r="AW39" s="166"/>
      <c r="AX39" s="166"/>
      <c r="AY39" s="166"/>
    </row>
    <row r="40" spans="2:51" x14ac:dyDescent="0.2">
      <c r="B40" s="360"/>
      <c r="C40" s="322"/>
      <c r="D40" s="322"/>
      <c r="E40" s="323"/>
      <c r="F40" s="324"/>
      <c r="G40" s="324"/>
      <c r="H40" s="341"/>
      <c r="I40" s="168"/>
      <c r="J40" s="26" t="s">
        <v>1241</v>
      </c>
      <c r="K40" s="156">
        <v>0.4375</v>
      </c>
      <c r="L40" s="156">
        <v>0.875</v>
      </c>
      <c r="M40" s="158">
        <v>9.1</v>
      </c>
      <c r="N40" s="278">
        <f>M40*3.2808399*0.4535924</f>
        <v>13.542292802736517</v>
      </c>
      <c r="O40" s="277">
        <f>((Y40*2)+(Z40*2))*12/144</f>
        <v>1.0833333333333333</v>
      </c>
      <c r="P40" s="277">
        <f>O40*3.2808399*0.09290304</f>
        <v>0.33020000050190401</v>
      </c>
      <c r="Y40">
        <v>3.5</v>
      </c>
      <c r="Z40">
        <v>3</v>
      </c>
      <c r="AA40" s="168"/>
      <c r="AB40" s="168"/>
      <c r="AC40" s="290"/>
      <c r="AD40" s="337"/>
      <c r="AE40" s="337"/>
      <c r="AF40" s="337"/>
      <c r="AG40" s="168"/>
      <c r="AH40" s="294"/>
      <c r="AI40" s="168"/>
      <c r="AJ40" s="168"/>
      <c r="AK40" s="290"/>
      <c r="AL40" s="337"/>
      <c r="AM40" s="337"/>
      <c r="AN40" s="337"/>
      <c r="AO40" s="166"/>
      <c r="AP40" s="166"/>
      <c r="AQ40" s="166"/>
      <c r="AR40" s="166"/>
      <c r="AS40" s="166"/>
      <c r="AT40" s="166"/>
      <c r="AU40" s="166"/>
      <c r="AV40" s="166"/>
      <c r="AW40" s="166"/>
      <c r="AX40" s="166"/>
      <c r="AY40" s="166"/>
    </row>
    <row r="41" spans="2:51" x14ac:dyDescent="0.2">
      <c r="B41" s="26" t="s">
        <v>1230</v>
      </c>
      <c r="C41" s="295">
        <v>1</v>
      </c>
      <c r="D41" s="295">
        <v>1.5</v>
      </c>
      <c r="E41" s="296">
        <v>37.4</v>
      </c>
      <c r="F41" s="281">
        <f t="shared" si="1"/>
        <v>55.657335255202831</v>
      </c>
      <c r="G41" s="359">
        <f>((R41*2)+(S41*2))*12/144</f>
        <v>2</v>
      </c>
      <c r="H41" s="281">
        <f t="shared" si="0"/>
        <v>0.60960000092659206</v>
      </c>
      <c r="I41" s="168"/>
      <c r="J41" s="26" t="s">
        <v>1241</v>
      </c>
      <c r="K41" s="14">
        <v>0.375</v>
      </c>
      <c r="L41" s="14">
        <v>0.8125</v>
      </c>
      <c r="M41" s="124">
        <v>7.9</v>
      </c>
      <c r="N41" s="321">
        <f>M41*3.2808399*0.4535924</f>
        <v>11.756495949628405</v>
      </c>
      <c r="O41" s="226">
        <f>((Y41*2)+(Z41*2))*12/144</f>
        <v>1.0833333333333333</v>
      </c>
      <c r="P41" s="281">
        <f>O41*3.2808399*0.09290304</f>
        <v>0.33020000050190401</v>
      </c>
      <c r="R41">
        <v>8</v>
      </c>
      <c r="S41">
        <v>4</v>
      </c>
      <c r="Y41">
        <v>3.5</v>
      </c>
      <c r="Z41">
        <v>3</v>
      </c>
      <c r="AA41" s="168"/>
      <c r="AB41" s="168"/>
      <c r="AC41" s="290"/>
      <c r="AD41" s="337"/>
      <c r="AE41" s="337"/>
      <c r="AF41" s="337"/>
      <c r="AG41" s="168"/>
      <c r="AH41" s="294"/>
      <c r="AI41" s="168"/>
      <c r="AJ41" s="168"/>
      <c r="AK41" s="290"/>
      <c r="AL41" s="337"/>
      <c r="AM41" s="337"/>
      <c r="AN41" s="337"/>
      <c r="AO41" s="166"/>
      <c r="AP41" s="166"/>
      <c r="AQ41" s="166"/>
      <c r="AR41" s="166"/>
      <c r="AS41" s="166"/>
      <c r="AT41" s="166"/>
      <c r="AU41" s="166"/>
      <c r="AV41" s="166"/>
      <c r="AW41" s="166"/>
      <c r="AX41" s="166"/>
      <c r="AY41" s="166"/>
    </row>
    <row r="42" spans="2:51" x14ac:dyDescent="0.2">
      <c r="B42" s="26" t="s">
        <v>1230</v>
      </c>
      <c r="C42" s="14">
        <v>0.75</v>
      </c>
      <c r="D42" s="14">
        <v>1.25</v>
      </c>
      <c r="E42" s="124">
        <v>28.7</v>
      </c>
      <c r="F42" s="279">
        <f t="shared" si="1"/>
        <v>42.710308070169013</v>
      </c>
      <c r="G42" s="226">
        <f>((R42*2)+(S42*2))*12/144</f>
        <v>2</v>
      </c>
      <c r="H42" s="281">
        <f t="shared" si="0"/>
        <v>0.60960000092659206</v>
      </c>
      <c r="I42" s="168"/>
      <c r="J42" s="26" t="s">
        <v>1241</v>
      </c>
      <c r="K42" s="14">
        <v>0.3125</v>
      </c>
      <c r="L42" s="14">
        <v>0.75</v>
      </c>
      <c r="M42" s="124">
        <v>6.6</v>
      </c>
      <c r="N42" s="321">
        <f>M42*3.2808399*0.4535924</f>
        <v>9.821882692094615</v>
      </c>
      <c r="O42" s="226">
        <f>((Y42*2)+(Z42*2))*12/144</f>
        <v>1.0833333333333333</v>
      </c>
      <c r="P42" s="281">
        <f>O42*3.2808399*0.09290304</f>
        <v>0.33020000050190401</v>
      </c>
      <c r="R42">
        <v>8</v>
      </c>
      <c r="S42">
        <v>4</v>
      </c>
      <c r="Y42">
        <v>3.5</v>
      </c>
      <c r="Z42">
        <v>3</v>
      </c>
      <c r="AA42" s="168"/>
      <c r="AB42" s="168"/>
      <c r="AC42" s="290"/>
      <c r="AD42" s="337"/>
      <c r="AE42" s="337"/>
      <c r="AF42" s="337"/>
      <c r="AG42" s="168"/>
      <c r="AH42" s="294"/>
      <c r="AI42" s="168"/>
      <c r="AJ42" s="168"/>
      <c r="AK42" s="290"/>
      <c r="AL42" s="337"/>
      <c r="AM42" s="337"/>
      <c r="AN42" s="337"/>
      <c r="AO42" s="166"/>
      <c r="AP42" s="166"/>
      <c r="AQ42" s="166"/>
      <c r="AR42" s="166"/>
      <c r="AS42" s="166"/>
      <c r="AT42" s="166"/>
      <c r="AU42" s="166"/>
      <c r="AV42" s="166"/>
      <c r="AW42" s="166"/>
      <c r="AX42" s="166"/>
      <c r="AY42" s="166"/>
    </row>
    <row r="43" spans="2:51" x14ac:dyDescent="0.2">
      <c r="B43" s="26" t="s">
        <v>1230</v>
      </c>
      <c r="C43" s="156">
        <v>0.5625</v>
      </c>
      <c r="D43" s="156">
        <v>1.0625</v>
      </c>
      <c r="E43" s="158">
        <v>21.9</v>
      </c>
      <c r="F43" s="278">
        <f t="shared" si="1"/>
        <v>32.590792569223048</v>
      </c>
      <c r="G43" s="278">
        <f>((R43*2)+(S43*2))*12/144</f>
        <v>2</v>
      </c>
      <c r="H43" s="277">
        <f>G43*3.2808399*0.09290304</f>
        <v>0.60960000092659206</v>
      </c>
      <c r="I43" s="168"/>
      <c r="J43" s="26" t="s">
        <v>1241</v>
      </c>
      <c r="K43" s="362">
        <v>0.25</v>
      </c>
      <c r="L43" s="362">
        <v>0.6875</v>
      </c>
      <c r="M43" s="363">
        <v>5.4</v>
      </c>
      <c r="N43" s="321">
        <f>M43*3.2808399*0.4535924</f>
        <v>8.0360858389865051</v>
      </c>
      <c r="O43" s="364">
        <f>((Y43*2)+(Z43*2))*12/144</f>
        <v>1.0833333333333333</v>
      </c>
      <c r="P43" s="281">
        <f>O43*3.2808399*0.09290304</f>
        <v>0.33020000050190401</v>
      </c>
      <c r="R43">
        <v>8</v>
      </c>
      <c r="S43">
        <v>4</v>
      </c>
      <c r="Y43">
        <v>3.5</v>
      </c>
      <c r="Z43">
        <v>3</v>
      </c>
      <c r="AA43" s="168"/>
      <c r="AB43" s="168"/>
      <c r="AC43" s="290"/>
      <c r="AD43" s="337"/>
      <c r="AE43" s="337"/>
      <c r="AF43" s="337"/>
      <c r="AG43" s="168"/>
      <c r="AH43" s="294"/>
      <c r="AI43" s="168"/>
      <c r="AJ43" s="168"/>
      <c r="AK43" s="290"/>
      <c r="AL43" s="337"/>
      <c r="AM43" s="337"/>
      <c r="AN43" s="337"/>
      <c r="AO43" s="166"/>
      <c r="AP43" s="166"/>
      <c r="AQ43" s="166"/>
      <c r="AR43" s="166"/>
      <c r="AS43" s="166"/>
      <c r="AT43" s="166"/>
      <c r="AU43" s="166"/>
      <c r="AV43" s="166"/>
      <c r="AW43" s="166"/>
      <c r="AX43" s="166"/>
      <c r="AY43" s="166"/>
    </row>
    <row r="44" spans="2:51" x14ac:dyDescent="0.2">
      <c r="B44" s="26" t="s">
        <v>1230</v>
      </c>
      <c r="C44" s="362">
        <v>0.5</v>
      </c>
      <c r="D44" s="362">
        <v>1</v>
      </c>
      <c r="E44" s="363">
        <v>19.600000000000001</v>
      </c>
      <c r="F44" s="321">
        <f t="shared" si="1"/>
        <v>29.168015267432498</v>
      </c>
      <c r="G44" s="364">
        <f>((R44*2)+(S44*2))*12/144</f>
        <v>2</v>
      </c>
      <c r="H44" s="281">
        <f t="shared" si="0"/>
        <v>0.60960000092659206</v>
      </c>
      <c r="I44" s="168"/>
      <c r="J44" s="360"/>
      <c r="K44" s="322"/>
      <c r="L44" s="322"/>
      <c r="M44" s="323"/>
      <c r="N44" s="323"/>
      <c r="O44" s="343"/>
      <c r="P44" s="361"/>
      <c r="R44">
        <v>8</v>
      </c>
      <c r="S44">
        <v>4</v>
      </c>
      <c r="AA44" s="168"/>
      <c r="AB44" s="168"/>
      <c r="AC44" s="290"/>
      <c r="AD44" s="337"/>
      <c r="AE44" s="337"/>
      <c r="AF44" s="337"/>
      <c r="AG44" s="168"/>
      <c r="AH44" s="294"/>
      <c r="AI44" s="168"/>
      <c r="AJ44" s="168"/>
      <c r="AK44" s="290"/>
      <c r="AL44" s="290"/>
      <c r="AM44" s="166"/>
      <c r="AN44" s="294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166"/>
    </row>
    <row r="45" spans="2:51" x14ac:dyDescent="0.2">
      <c r="B45" s="360"/>
      <c r="C45" s="322"/>
      <c r="D45" s="322"/>
      <c r="E45" s="323"/>
      <c r="F45" s="324"/>
      <c r="G45" s="343"/>
      <c r="H45" s="361"/>
      <c r="I45" s="168"/>
      <c r="J45" s="26" t="s">
        <v>1242</v>
      </c>
      <c r="K45" s="162">
        <v>0.5</v>
      </c>
      <c r="L45" s="162">
        <v>0.9375</v>
      </c>
      <c r="M45" s="154">
        <v>9.4</v>
      </c>
      <c r="N45" s="277">
        <f>M45*3.2808399*0.4535924</f>
        <v>13.988742016013546</v>
      </c>
      <c r="O45" s="277">
        <f>((Y45*2)+(Z45*2))*12/144</f>
        <v>1</v>
      </c>
      <c r="P45" s="277">
        <f>O45*3.2808399*0.09290304</f>
        <v>0.30480000046329603</v>
      </c>
      <c r="Y45">
        <v>3.5</v>
      </c>
      <c r="Z45">
        <v>2.5</v>
      </c>
      <c r="AA45" s="168"/>
      <c r="AB45" s="168"/>
      <c r="AC45" s="290"/>
      <c r="AD45" s="337"/>
      <c r="AE45" s="166"/>
      <c r="AF45" s="294"/>
      <c r="AG45" s="168"/>
      <c r="AH45" s="294"/>
      <c r="AI45" s="168"/>
      <c r="AJ45" s="168"/>
      <c r="AK45" s="290"/>
      <c r="AL45" s="337"/>
      <c r="AM45" s="337"/>
      <c r="AN45" s="337"/>
      <c r="AO45" s="166"/>
      <c r="AP45" s="166"/>
      <c r="AQ45" s="166"/>
      <c r="AR45" s="166"/>
      <c r="AS45" s="166"/>
      <c r="AT45" s="166"/>
      <c r="AU45" s="166"/>
      <c r="AV45" s="166"/>
      <c r="AW45" s="166"/>
      <c r="AX45" s="166"/>
      <c r="AY45" s="166"/>
    </row>
    <row r="46" spans="2:51" x14ac:dyDescent="0.2">
      <c r="B46" s="26" t="s">
        <v>1231</v>
      </c>
      <c r="C46" s="295">
        <v>0.75</v>
      </c>
      <c r="D46" s="295">
        <v>1.25</v>
      </c>
      <c r="E46" s="296">
        <v>26.2</v>
      </c>
      <c r="F46" s="281">
        <f t="shared" si="1"/>
        <v>38.989897959527113</v>
      </c>
      <c r="G46" s="359">
        <f>((R46*2)+(S46*2))*12/144</f>
        <v>1.8333333333333333</v>
      </c>
      <c r="H46" s="281">
        <f t="shared" si="0"/>
        <v>0.55880000084937598</v>
      </c>
      <c r="I46" s="168"/>
      <c r="J46" s="26" t="s">
        <v>1242</v>
      </c>
      <c r="K46" s="156">
        <v>0.4375</v>
      </c>
      <c r="L46" s="156">
        <v>0.875</v>
      </c>
      <c r="M46" s="158">
        <v>8.3000000000000007</v>
      </c>
      <c r="N46" s="278">
        <f>M46*3.2808399*0.4535924</f>
        <v>12.35176156733111</v>
      </c>
      <c r="O46" s="277">
        <f>((Y46*2)+(Z46*2))*12/144</f>
        <v>1</v>
      </c>
      <c r="P46" s="277">
        <f>O46*3.2808399*0.09290304</f>
        <v>0.30480000046329603</v>
      </c>
      <c r="R46">
        <v>7</v>
      </c>
      <c r="S46">
        <v>4</v>
      </c>
      <c r="Y46">
        <v>3.5</v>
      </c>
      <c r="Z46">
        <v>2.5</v>
      </c>
      <c r="AA46" s="168"/>
      <c r="AB46" s="168"/>
      <c r="AC46" s="290"/>
      <c r="AD46" s="337"/>
      <c r="AE46" s="337"/>
      <c r="AF46" s="337"/>
      <c r="AG46" s="168"/>
      <c r="AH46" s="294"/>
      <c r="AI46" s="168"/>
      <c r="AJ46" s="168"/>
      <c r="AK46" s="290"/>
      <c r="AL46" s="337"/>
      <c r="AM46" s="337"/>
      <c r="AN46" s="337"/>
      <c r="AO46" s="166"/>
      <c r="AP46" s="166"/>
      <c r="AQ46" s="166"/>
      <c r="AR46" s="166"/>
      <c r="AS46" s="166"/>
      <c r="AT46" s="166"/>
      <c r="AU46" s="166"/>
      <c r="AV46" s="166"/>
      <c r="AW46" s="166"/>
      <c r="AX46" s="166"/>
      <c r="AY46" s="166"/>
    </row>
    <row r="47" spans="2:51" x14ac:dyDescent="0.2">
      <c r="B47" s="26" t="s">
        <v>1231</v>
      </c>
      <c r="C47" s="156">
        <v>0.625</v>
      </c>
      <c r="D47" s="156">
        <v>1.125</v>
      </c>
      <c r="E47" s="158">
        <v>22.1</v>
      </c>
      <c r="F47" s="278">
        <f t="shared" si="1"/>
        <v>32.888425378074402</v>
      </c>
      <c r="G47" s="278">
        <f>((R47*2)+(S47*2))*12/144</f>
        <v>1.8333333333333333</v>
      </c>
      <c r="H47" s="277">
        <f>G47*3.2808399*0.09290304</f>
        <v>0.55880000084937598</v>
      </c>
      <c r="I47" s="168"/>
      <c r="J47" s="26" t="s">
        <v>1242</v>
      </c>
      <c r="K47" s="14">
        <v>0.375</v>
      </c>
      <c r="L47" s="14">
        <v>0.8125</v>
      </c>
      <c r="M47" s="124">
        <v>7.2</v>
      </c>
      <c r="N47" s="321">
        <f>M47*3.2808399*0.4535924</f>
        <v>10.714781118648672</v>
      </c>
      <c r="O47" s="226">
        <f>((Y47*2)+(Z47*2))*12/144</f>
        <v>1</v>
      </c>
      <c r="P47" s="281">
        <f>O47*3.2808399*0.09290304</f>
        <v>0.30480000046329603</v>
      </c>
      <c r="R47">
        <v>7</v>
      </c>
      <c r="S47">
        <v>4</v>
      </c>
      <c r="Y47">
        <v>3.5</v>
      </c>
      <c r="Z47">
        <v>2.5</v>
      </c>
      <c r="AA47" s="168"/>
      <c r="AB47" s="168"/>
      <c r="AC47" s="290"/>
      <c r="AD47" s="337"/>
      <c r="AE47" s="337"/>
      <c r="AF47" s="337"/>
      <c r="AG47" s="168"/>
      <c r="AH47" s="294"/>
      <c r="AI47" s="168"/>
      <c r="AJ47" s="168"/>
      <c r="AK47" s="290"/>
      <c r="AL47" s="337"/>
      <c r="AM47" s="337"/>
      <c r="AN47" s="337"/>
      <c r="AO47" s="166"/>
      <c r="AP47" s="166"/>
      <c r="AQ47" s="166"/>
      <c r="AR47" s="166"/>
      <c r="AS47" s="166"/>
      <c r="AT47" s="166"/>
      <c r="AU47" s="166"/>
      <c r="AV47" s="166"/>
      <c r="AW47" s="166"/>
      <c r="AX47" s="166"/>
      <c r="AY47" s="166"/>
    </row>
    <row r="48" spans="2:51" x14ac:dyDescent="0.2">
      <c r="B48" s="26" t="s">
        <v>1231</v>
      </c>
      <c r="C48" s="14">
        <v>0.5</v>
      </c>
      <c r="D48" s="14">
        <v>1</v>
      </c>
      <c r="E48" s="124">
        <v>17.899999999999999</v>
      </c>
      <c r="F48" s="279">
        <f t="shared" si="1"/>
        <v>26.638136392196003</v>
      </c>
      <c r="G48" s="226">
        <f>((R48*2)+(S48*2))*12/144</f>
        <v>1.8333333333333333</v>
      </c>
      <c r="H48" s="281">
        <f t="shared" si="0"/>
        <v>0.55880000084937598</v>
      </c>
      <c r="I48" s="168"/>
      <c r="J48" s="26" t="s">
        <v>1242</v>
      </c>
      <c r="K48" s="14">
        <v>0.3125</v>
      </c>
      <c r="L48" s="14">
        <v>0.75</v>
      </c>
      <c r="M48" s="124">
        <v>6.1</v>
      </c>
      <c r="N48" s="321">
        <f>M48*3.2808399*0.4535924</f>
        <v>9.077800669966237</v>
      </c>
      <c r="O48" s="226">
        <f>((Y48*2)+(Z48*2))*12/144</f>
        <v>1</v>
      </c>
      <c r="P48" s="281">
        <f>O48*3.2808399*0.09290304</f>
        <v>0.30480000046329603</v>
      </c>
      <c r="R48">
        <v>7</v>
      </c>
      <c r="S48">
        <v>4</v>
      </c>
      <c r="Y48">
        <v>3.5</v>
      </c>
      <c r="Z48">
        <v>2.5</v>
      </c>
      <c r="AA48" s="168"/>
      <c r="AB48" s="168"/>
      <c r="AC48" s="290"/>
      <c r="AD48" s="337"/>
      <c r="AE48" s="337"/>
      <c r="AF48" s="337"/>
      <c r="AG48" s="168"/>
      <c r="AH48" s="294"/>
      <c r="AI48" s="168"/>
      <c r="AJ48" s="168"/>
      <c r="AK48" s="290"/>
      <c r="AL48" s="337"/>
      <c r="AM48" s="337"/>
      <c r="AN48" s="337"/>
      <c r="AO48" s="166"/>
      <c r="AP48" s="166"/>
      <c r="AQ48" s="166"/>
      <c r="AR48" s="166"/>
      <c r="AS48" s="166"/>
      <c r="AT48" s="166"/>
      <c r="AU48" s="166"/>
      <c r="AV48" s="166"/>
      <c r="AW48" s="166"/>
      <c r="AX48" s="166"/>
      <c r="AY48" s="166"/>
    </row>
    <row r="49" spans="2:51" x14ac:dyDescent="0.2">
      <c r="B49" s="26" t="s">
        <v>1231</v>
      </c>
      <c r="C49" s="362">
        <v>0.375</v>
      </c>
      <c r="D49" s="362">
        <v>0.875</v>
      </c>
      <c r="E49" s="363">
        <v>13.6</v>
      </c>
      <c r="F49" s="321">
        <f t="shared" si="1"/>
        <v>20.239031001891938</v>
      </c>
      <c r="G49" s="364">
        <f>((R49*2)+(S49*2))*12/144</f>
        <v>1.8333333333333333</v>
      </c>
      <c r="H49" s="281">
        <f t="shared" si="0"/>
        <v>0.55880000084937598</v>
      </c>
      <c r="I49" s="168"/>
      <c r="J49" s="26" t="s">
        <v>1242</v>
      </c>
      <c r="K49" s="362">
        <v>0.25</v>
      </c>
      <c r="L49" s="362">
        <v>0.6875</v>
      </c>
      <c r="M49" s="363">
        <v>4.9000000000000004</v>
      </c>
      <c r="N49" s="321">
        <f>M49*3.2808399*0.4535924</f>
        <v>7.2920038168581245</v>
      </c>
      <c r="O49" s="364">
        <f>((Y49*2)+(Z49*2))*12/144</f>
        <v>1</v>
      </c>
      <c r="P49" s="281">
        <f>O49*3.2808399*0.09290304</f>
        <v>0.30480000046329603</v>
      </c>
      <c r="R49">
        <v>7</v>
      </c>
      <c r="S49">
        <v>4</v>
      </c>
      <c r="Y49">
        <v>3.5</v>
      </c>
      <c r="Z49">
        <v>2.5</v>
      </c>
      <c r="AA49" s="168"/>
      <c r="AB49" s="168"/>
      <c r="AC49" s="290"/>
      <c r="AD49" s="337"/>
      <c r="AE49" s="337"/>
      <c r="AF49" s="337"/>
      <c r="AG49" s="168"/>
      <c r="AH49" s="294"/>
      <c r="AI49" s="168"/>
      <c r="AJ49" s="168"/>
      <c r="AK49" s="290"/>
      <c r="AL49" s="337"/>
      <c r="AM49" s="337"/>
      <c r="AN49" s="337"/>
      <c r="AO49" s="166"/>
      <c r="AP49" s="166"/>
      <c r="AQ49" s="166"/>
      <c r="AR49" s="166"/>
      <c r="AS49" s="166"/>
      <c r="AT49" s="166"/>
      <c r="AU49" s="166"/>
      <c r="AV49" s="166"/>
      <c r="AW49" s="166"/>
      <c r="AX49" s="166"/>
      <c r="AY49" s="166"/>
    </row>
    <row r="50" spans="2:51" x14ac:dyDescent="0.2">
      <c r="B50" s="360"/>
      <c r="C50" s="322"/>
      <c r="D50" s="322"/>
      <c r="E50" s="323"/>
      <c r="F50" s="324"/>
      <c r="G50" s="343"/>
      <c r="H50" s="361"/>
      <c r="I50" s="168"/>
      <c r="J50" s="360"/>
      <c r="K50" s="322"/>
      <c r="L50" s="322"/>
      <c r="M50" s="323"/>
      <c r="N50" s="323"/>
      <c r="O50" s="343"/>
      <c r="P50" s="361"/>
      <c r="AA50" s="168"/>
      <c r="AB50" s="168"/>
      <c r="AC50" s="290"/>
      <c r="AD50" s="337"/>
      <c r="AE50" s="166"/>
      <c r="AF50" s="294"/>
      <c r="AG50" s="168"/>
      <c r="AH50" s="294"/>
      <c r="AI50" s="168"/>
      <c r="AJ50" s="168"/>
      <c r="AK50" s="290"/>
      <c r="AL50" s="290"/>
      <c r="AM50" s="166"/>
      <c r="AN50" s="294"/>
      <c r="AO50" s="166"/>
      <c r="AP50" s="166"/>
      <c r="AQ50" s="166"/>
      <c r="AR50" s="166"/>
      <c r="AS50" s="166"/>
      <c r="AT50" s="166"/>
      <c r="AU50" s="166"/>
      <c r="AV50" s="166"/>
      <c r="AW50" s="166"/>
      <c r="AX50" s="166"/>
      <c r="AY50" s="166"/>
    </row>
    <row r="51" spans="2:51" x14ac:dyDescent="0.2">
      <c r="B51" s="26" t="s">
        <v>1232</v>
      </c>
      <c r="C51" s="295">
        <v>1</v>
      </c>
      <c r="D51" s="295">
        <v>1.5</v>
      </c>
      <c r="E51" s="296">
        <v>37.4</v>
      </c>
      <c r="F51" s="281">
        <f t="shared" si="1"/>
        <v>55.657335255202831</v>
      </c>
      <c r="G51" s="359">
        <f t="shared" ref="G51:G59" si="4">((R51*2)+(S51*2))*12/144</f>
        <v>2</v>
      </c>
      <c r="H51" s="281">
        <f t="shared" si="0"/>
        <v>0.60960000092659206</v>
      </c>
      <c r="I51" s="168"/>
      <c r="J51" s="26" t="s">
        <v>1243</v>
      </c>
      <c r="K51" s="295">
        <v>0.5</v>
      </c>
      <c r="L51" s="295">
        <v>0.8125</v>
      </c>
      <c r="M51" s="296">
        <v>9.4</v>
      </c>
      <c r="N51" s="340">
        <f t="shared" ref="N51:N56" si="5">M51*3.2808399*0.4535924</f>
        <v>13.988742016013546</v>
      </c>
      <c r="O51" s="359">
        <f t="shared" ref="O51:O56" si="6">((Y51*2)+(Z51*2))*12/144</f>
        <v>1</v>
      </c>
      <c r="P51" s="281">
        <f t="shared" ref="P51:P56" si="7">O51*3.2808399*0.09290304</f>
        <v>0.30480000046329603</v>
      </c>
      <c r="R51">
        <v>6</v>
      </c>
      <c r="S51">
        <v>6</v>
      </c>
      <c r="Y51">
        <v>3</v>
      </c>
      <c r="Z51">
        <v>3</v>
      </c>
      <c r="AA51" s="168"/>
      <c r="AB51" s="168"/>
      <c r="AC51" s="290"/>
      <c r="AD51" s="337"/>
      <c r="AE51" s="337"/>
      <c r="AF51" s="337"/>
      <c r="AG51" s="168"/>
      <c r="AH51" s="294"/>
      <c r="AI51" s="168"/>
      <c r="AJ51" s="168"/>
      <c r="AK51" s="290"/>
      <c r="AL51" s="337"/>
      <c r="AM51" s="337"/>
      <c r="AN51" s="337"/>
      <c r="AO51" s="166"/>
      <c r="AP51" s="166"/>
      <c r="AQ51" s="166"/>
      <c r="AR51" s="166"/>
      <c r="AS51" s="166"/>
      <c r="AT51" s="166"/>
      <c r="AU51" s="166"/>
      <c r="AV51" s="166"/>
      <c r="AW51" s="166"/>
      <c r="AX51" s="166"/>
      <c r="AY51" s="166"/>
    </row>
    <row r="52" spans="2:51" x14ac:dyDescent="0.2">
      <c r="B52" s="26" t="s">
        <v>1232</v>
      </c>
      <c r="C52" s="14">
        <v>0.875</v>
      </c>
      <c r="D52" s="14">
        <v>1.375</v>
      </c>
      <c r="E52" s="124">
        <v>33.1</v>
      </c>
      <c r="F52" s="279">
        <f t="shared" si="1"/>
        <v>49.258229864898759</v>
      </c>
      <c r="G52" s="226">
        <f t="shared" si="4"/>
        <v>2</v>
      </c>
      <c r="H52" s="281">
        <f t="shared" si="0"/>
        <v>0.60960000092659206</v>
      </c>
      <c r="I52" s="168"/>
      <c r="J52" s="26" t="s">
        <v>1243</v>
      </c>
      <c r="K52" s="156">
        <v>0.4375</v>
      </c>
      <c r="L52" s="156">
        <v>0.75</v>
      </c>
      <c r="M52" s="158">
        <v>8.3000000000000007</v>
      </c>
      <c r="N52" s="278">
        <f t="shared" si="5"/>
        <v>12.35176156733111</v>
      </c>
      <c r="O52" s="277">
        <f t="shared" si="6"/>
        <v>1</v>
      </c>
      <c r="P52" s="277">
        <f t="shared" si="7"/>
        <v>0.30480000046329603</v>
      </c>
      <c r="R52">
        <v>6</v>
      </c>
      <c r="S52">
        <v>6</v>
      </c>
      <c r="Y52">
        <v>3</v>
      </c>
      <c r="Z52">
        <v>3</v>
      </c>
      <c r="AA52" s="168"/>
      <c r="AB52" s="168"/>
      <c r="AC52" s="290"/>
      <c r="AD52" s="337"/>
      <c r="AE52" s="337"/>
      <c r="AF52" s="337"/>
      <c r="AG52" s="168"/>
      <c r="AH52" s="294"/>
      <c r="AI52" s="168"/>
      <c r="AJ52" s="168"/>
      <c r="AK52" s="290"/>
      <c r="AL52" s="337"/>
      <c r="AM52" s="337"/>
      <c r="AN52" s="337"/>
      <c r="AO52" s="166"/>
      <c r="AP52" s="166"/>
      <c r="AQ52" s="166"/>
      <c r="AR52" s="166"/>
      <c r="AS52" s="166"/>
      <c r="AT52" s="166"/>
      <c r="AU52" s="166"/>
      <c r="AV52" s="166"/>
      <c r="AW52" s="166"/>
      <c r="AX52" s="166"/>
      <c r="AY52" s="166"/>
    </row>
    <row r="53" spans="2:51" x14ac:dyDescent="0.2">
      <c r="B53" s="26" t="s">
        <v>1232</v>
      </c>
      <c r="C53" s="14">
        <v>0.75</v>
      </c>
      <c r="D53" s="14">
        <v>1.25</v>
      </c>
      <c r="E53" s="124">
        <v>28.7</v>
      </c>
      <c r="F53" s="279">
        <f t="shared" si="1"/>
        <v>42.710308070169013</v>
      </c>
      <c r="G53" s="226">
        <f t="shared" si="4"/>
        <v>2</v>
      </c>
      <c r="H53" s="281">
        <f t="shared" si="0"/>
        <v>0.60960000092659206</v>
      </c>
      <c r="I53" s="168"/>
      <c r="J53" s="26" t="s">
        <v>1243</v>
      </c>
      <c r="K53" s="14">
        <v>0.375</v>
      </c>
      <c r="L53" s="14">
        <v>0.6875</v>
      </c>
      <c r="M53" s="124">
        <v>7.2</v>
      </c>
      <c r="N53" s="321">
        <f t="shared" si="5"/>
        <v>10.714781118648672</v>
      </c>
      <c r="O53" s="226">
        <f t="shared" si="6"/>
        <v>1</v>
      </c>
      <c r="P53" s="281">
        <f t="shared" si="7"/>
        <v>0.30480000046329603</v>
      </c>
      <c r="R53">
        <v>6</v>
      </c>
      <c r="S53">
        <v>6</v>
      </c>
      <c r="Y53">
        <v>3</v>
      </c>
      <c r="Z53">
        <v>3</v>
      </c>
      <c r="AA53" s="168"/>
      <c r="AB53" s="168"/>
      <c r="AC53" s="290"/>
      <c r="AD53" s="337"/>
      <c r="AE53" s="337"/>
      <c r="AF53" s="337"/>
      <c r="AG53" s="168"/>
      <c r="AH53" s="294"/>
      <c r="AI53" s="168"/>
      <c r="AJ53" s="168"/>
      <c r="AK53" s="290"/>
      <c r="AL53" s="337"/>
      <c r="AM53" s="337"/>
      <c r="AN53" s="337"/>
      <c r="AO53" s="166"/>
      <c r="AP53" s="166"/>
      <c r="AQ53" s="166"/>
      <c r="AR53" s="166"/>
      <c r="AS53" s="166"/>
      <c r="AT53" s="166"/>
      <c r="AU53" s="166"/>
      <c r="AV53" s="166"/>
      <c r="AW53" s="166"/>
      <c r="AX53" s="166"/>
      <c r="AY53" s="166"/>
    </row>
    <row r="54" spans="2:51" x14ac:dyDescent="0.2">
      <c r="B54" s="26" t="s">
        <v>1232</v>
      </c>
      <c r="C54" s="14">
        <v>0.625</v>
      </c>
      <c r="D54" s="14">
        <v>1.125</v>
      </c>
      <c r="E54" s="124">
        <v>24.2</v>
      </c>
      <c r="F54" s="279">
        <f t="shared" si="1"/>
        <v>36.013569871013594</v>
      </c>
      <c r="G54" s="226">
        <f t="shared" si="4"/>
        <v>2</v>
      </c>
      <c r="H54" s="281">
        <f t="shared" si="0"/>
        <v>0.60960000092659206</v>
      </c>
      <c r="I54" s="168"/>
      <c r="J54" s="26" t="s">
        <v>1243</v>
      </c>
      <c r="K54" s="14">
        <v>0.3125</v>
      </c>
      <c r="L54" s="14">
        <v>0.625</v>
      </c>
      <c r="M54" s="124">
        <v>6.1</v>
      </c>
      <c r="N54" s="321">
        <f t="shared" si="5"/>
        <v>9.077800669966237</v>
      </c>
      <c r="O54" s="226">
        <f t="shared" si="6"/>
        <v>1</v>
      </c>
      <c r="P54" s="281">
        <f t="shared" si="7"/>
        <v>0.30480000046329603</v>
      </c>
      <c r="R54">
        <v>6</v>
      </c>
      <c r="S54">
        <v>6</v>
      </c>
      <c r="Y54">
        <v>3</v>
      </c>
      <c r="Z54">
        <v>3</v>
      </c>
      <c r="AA54" s="168"/>
      <c r="AB54" s="168"/>
      <c r="AC54" s="290"/>
      <c r="AD54" s="337"/>
      <c r="AE54" s="337"/>
      <c r="AF54" s="337"/>
      <c r="AG54" s="168"/>
      <c r="AH54" s="294"/>
      <c r="AI54" s="168"/>
      <c r="AJ54" s="168"/>
      <c r="AK54" s="290"/>
      <c r="AL54" s="337"/>
      <c r="AM54" s="337"/>
      <c r="AN54" s="337"/>
      <c r="AO54" s="166"/>
      <c r="AP54" s="166"/>
      <c r="AQ54" s="166"/>
      <c r="AR54" s="166"/>
      <c r="AS54" s="166"/>
      <c r="AT54" s="166"/>
      <c r="AU54" s="166"/>
      <c r="AV54" s="166"/>
      <c r="AW54" s="166"/>
      <c r="AX54" s="166"/>
      <c r="AY54" s="166"/>
    </row>
    <row r="55" spans="2:51" x14ac:dyDescent="0.2">
      <c r="B55" s="26" t="s">
        <v>1232</v>
      </c>
      <c r="C55" s="156">
        <v>0.5625</v>
      </c>
      <c r="D55" s="156">
        <v>1.0625</v>
      </c>
      <c r="E55" s="158">
        <v>21.9</v>
      </c>
      <c r="F55" s="278">
        <f t="shared" si="1"/>
        <v>32.590792569223048</v>
      </c>
      <c r="G55" s="278">
        <f t="shared" si="4"/>
        <v>2</v>
      </c>
      <c r="H55" s="277">
        <f>G55*3.2808399*0.09290304</f>
        <v>0.60960000092659206</v>
      </c>
      <c r="I55" s="168"/>
      <c r="J55" s="26" t="s">
        <v>1243</v>
      </c>
      <c r="K55" s="14">
        <v>0.25</v>
      </c>
      <c r="L55" s="14">
        <v>0.5625</v>
      </c>
      <c r="M55" s="124">
        <v>4.9000000000000004</v>
      </c>
      <c r="N55" s="321">
        <f t="shared" si="5"/>
        <v>7.2920038168581245</v>
      </c>
      <c r="O55" s="226">
        <f t="shared" si="6"/>
        <v>1</v>
      </c>
      <c r="P55" s="281">
        <f t="shared" si="7"/>
        <v>0.30480000046329603</v>
      </c>
      <c r="R55">
        <v>6</v>
      </c>
      <c r="S55">
        <v>6</v>
      </c>
      <c r="Y55">
        <v>3</v>
      </c>
      <c r="Z55">
        <v>3</v>
      </c>
      <c r="AA55" s="168"/>
      <c r="AB55" s="168"/>
      <c r="AC55" s="290"/>
      <c r="AD55" s="337"/>
      <c r="AE55" s="337"/>
      <c r="AF55" s="337"/>
      <c r="AG55" s="168"/>
      <c r="AH55" s="294"/>
      <c r="AI55" s="168"/>
      <c r="AJ55" s="168"/>
      <c r="AK55" s="290"/>
      <c r="AL55" s="337"/>
      <c r="AM55" s="337"/>
      <c r="AN55" s="337"/>
      <c r="AO55" s="166"/>
      <c r="AP55" s="166"/>
      <c r="AQ55" s="166"/>
      <c r="AR55" s="166"/>
      <c r="AS55" s="166"/>
      <c r="AT55" s="166"/>
      <c r="AU55" s="166"/>
      <c r="AV55" s="166"/>
      <c r="AW55" s="166"/>
      <c r="AX55" s="166"/>
      <c r="AY55" s="166"/>
    </row>
    <row r="56" spans="2:51" x14ac:dyDescent="0.2">
      <c r="B56" s="26" t="s">
        <v>1232</v>
      </c>
      <c r="C56" s="14">
        <v>0.5</v>
      </c>
      <c r="D56" s="14">
        <v>1</v>
      </c>
      <c r="E56" s="124">
        <v>19.600000000000001</v>
      </c>
      <c r="F56" s="279">
        <f t="shared" si="1"/>
        <v>29.168015267432498</v>
      </c>
      <c r="G56" s="226">
        <f t="shared" si="4"/>
        <v>2</v>
      </c>
      <c r="H56" s="281">
        <f t="shared" si="0"/>
        <v>0.60960000092659206</v>
      </c>
      <c r="I56" s="168"/>
      <c r="J56" s="366" t="s">
        <v>1243</v>
      </c>
      <c r="K56" s="362">
        <v>0.1875</v>
      </c>
      <c r="L56" s="362">
        <v>0.5</v>
      </c>
      <c r="M56" s="363">
        <v>3.71</v>
      </c>
      <c r="N56" s="321">
        <f t="shared" si="5"/>
        <v>5.5210886041925802</v>
      </c>
      <c r="O56" s="364">
        <f t="shared" si="6"/>
        <v>1</v>
      </c>
      <c r="P56" s="340">
        <f t="shared" si="7"/>
        <v>0.30480000046329603</v>
      </c>
      <c r="R56">
        <v>6</v>
      </c>
      <c r="S56">
        <v>6</v>
      </c>
      <c r="Y56">
        <v>3</v>
      </c>
      <c r="Z56">
        <v>3</v>
      </c>
      <c r="AA56" s="168"/>
      <c r="AB56" s="168"/>
      <c r="AC56" s="290"/>
      <c r="AD56" s="337"/>
      <c r="AE56" s="337"/>
      <c r="AF56" s="337"/>
      <c r="AG56" s="168"/>
      <c r="AH56" s="294"/>
      <c r="AI56" s="168"/>
      <c r="AJ56" s="168"/>
      <c r="AK56" s="290"/>
      <c r="AL56" s="337"/>
      <c r="AM56" s="337"/>
      <c r="AN56" s="337"/>
      <c r="AO56" s="166"/>
      <c r="AP56" s="166"/>
      <c r="AQ56" s="166"/>
      <c r="AR56" s="166"/>
      <c r="AS56" s="166"/>
      <c r="AT56" s="166"/>
      <c r="AU56" s="166"/>
      <c r="AV56" s="166"/>
      <c r="AW56" s="166"/>
      <c r="AX56" s="166"/>
      <c r="AY56" s="166"/>
    </row>
    <row r="57" spans="2:51" x14ac:dyDescent="0.2">
      <c r="B57" s="26" t="s">
        <v>1232</v>
      </c>
      <c r="C57" s="156">
        <v>0.4375</v>
      </c>
      <c r="D57" s="156">
        <v>0.9375</v>
      </c>
      <c r="E57" s="158">
        <v>17.2</v>
      </c>
      <c r="F57" s="278">
        <f t="shared" si="1"/>
        <v>25.596421561216271</v>
      </c>
      <c r="G57" s="278">
        <f t="shared" si="4"/>
        <v>2</v>
      </c>
      <c r="H57" s="277">
        <f>G57*3.2808399*0.09290304</f>
        <v>0.60960000092659206</v>
      </c>
      <c r="I57" s="168"/>
      <c r="J57" s="360"/>
      <c r="K57" s="322"/>
      <c r="L57" s="322"/>
      <c r="M57" s="323"/>
      <c r="N57" s="323"/>
      <c r="O57" s="365"/>
      <c r="P57" s="361"/>
      <c r="R57">
        <v>6</v>
      </c>
      <c r="S57">
        <v>6</v>
      </c>
      <c r="AA57" s="168"/>
      <c r="AB57" s="168"/>
      <c r="AC57" s="290"/>
      <c r="AD57" s="337"/>
      <c r="AE57" s="337"/>
      <c r="AF57" s="337"/>
      <c r="AG57" s="168"/>
      <c r="AH57" s="294"/>
      <c r="AI57" s="168"/>
      <c r="AJ57" s="168"/>
      <c r="AK57" s="290"/>
      <c r="AL57" s="290"/>
      <c r="AM57" s="294"/>
      <c r="AN57" s="294"/>
      <c r="AO57" s="166"/>
      <c r="AP57" s="166"/>
      <c r="AQ57" s="166"/>
      <c r="AR57" s="166"/>
      <c r="AS57" s="166"/>
      <c r="AT57" s="166"/>
      <c r="AU57" s="166"/>
      <c r="AV57" s="166"/>
      <c r="AW57" s="166"/>
      <c r="AX57" s="166"/>
      <c r="AY57" s="166"/>
    </row>
    <row r="58" spans="2:51" x14ac:dyDescent="0.2">
      <c r="B58" s="26" t="s">
        <v>1232</v>
      </c>
      <c r="C58" s="14">
        <v>0.375</v>
      </c>
      <c r="D58" s="14">
        <v>0.875</v>
      </c>
      <c r="E58" s="124">
        <v>14.9</v>
      </c>
      <c r="F58" s="279">
        <f t="shared" si="1"/>
        <v>22.173644259425725</v>
      </c>
      <c r="G58" s="226">
        <f t="shared" si="4"/>
        <v>2</v>
      </c>
      <c r="H58" s="281">
        <f t="shared" si="0"/>
        <v>0.60960000092659206</v>
      </c>
      <c r="I58" s="168"/>
      <c r="J58" s="118" t="s">
        <v>1244</v>
      </c>
      <c r="K58" s="162">
        <v>0.5</v>
      </c>
      <c r="L58" s="162">
        <v>0.875</v>
      </c>
      <c r="M58" s="154">
        <v>8.5</v>
      </c>
      <c r="N58" s="277">
        <f t="shared" ref="N58:N63" si="8">M58*3.2808399*0.4535924</f>
        <v>12.649394376182462</v>
      </c>
      <c r="O58" s="277">
        <f t="shared" ref="O58:O63" si="9">((Y58*2)+(Z58*2))*12/144</f>
        <v>0.91666666666666663</v>
      </c>
      <c r="P58" s="277">
        <f t="shared" ref="P58:P63" si="10">O58*3.2808399*0.09290304</f>
        <v>0.27940000042468799</v>
      </c>
      <c r="R58">
        <v>6</v>
      </c>
      <c r="S58">
        <v>6</v>
      </c>
      <c r="Y58">
        <v>3</v>
      </c>
      <c r="Z58">
        <v>2.5</v>
      </c>
      <c r="AA58" s="168"/>
      <c r="AB58" s="168"/>
      <c r="AC58" s="290"/>
      <c r="AD58" s="337"/>
      <c r="AE58" s="337"/>
      <c r="AF58" s="337"/>
      <c r="AG58" s="168"/>
      <c r="AH58" s="294"/>
      <c r="AI58" s="168"/>
      <c r="AJ58" s="168"/>
      <c r="AK58" s="290"/>
      <c r="AL58" s="337"/>
      <c r="AM58" s="337"/>
      <c r="AN58" s="337"/>
      <c r="AO58" s="166"/>
      <c r="AP58" s="166"/>
      <c r="AQ58" s="166"/>
      <c r="AR58" s="166"/>
      <c r="AS58" s="166"/>
      <c r="AT58" s="166"/>
      <c r="AU58" s="166"/>
      <c r="AV58" s="166"/>
      <c r="AW58" s="166"/>
      <c r="AX58" s="166"/>
      <c r="AY58" s="166"/>
    </row>
    <row r="59" spans="2:51" x14ac:dyDescent="0.2">
      <c r="B59" s="26" t="s">
        <v>1232</v>
      </c>
      <c r="C59" s="357">
        <v>0.3125</v>
      </c>
      <c r="D59" s="357">
        <v>0.8125</v>
      </c>
      <c r="E59" s="358">
        <v>12.4</v>
      </c>
      <c r="F59" s="332">
        <f t="shared" si="1"/>
        <v>18.453234148783825</v>
      </c>
      <c r="G59" s="332">
        <f t="shared" si="4"/>
        <v>2</v>
      </c>
      <c r="H59" s="277">
        <f>G59*3.2808399*0.09290304</f>
        <v>0.60960000092659206</v>
      </c>
      <c r="I59" s="168"/>
      <c r="J59" s="26" t="s">
        <v>1244</v>
      </c>
      <c r="K59" s="156">
        <v>0.4375</v>
      </c>
      <c r="L59" s="156">
        <v>0.8125</v>
      </c>
      <c r="M59" s="158">
        <v>7.6</v>
      </c>
      <c r="N59" s="278">
        <f t="shared" si="8"/>
        <v>11.310046736351376</v>
      </c>
      <c r="O59" s="277">
        <f t="shared" si="9"/>
        <v>0.91666666666666663</v>
      </c>
      <c r="P59" s="277">
        <f t="shared" si="10"/>
        <v>0.27940000042468799</v>
      </c>
      <c r="R59">
        <v>6</v>
      </c>
      <c r="S59">
        <v>6</v>
      </c>
      <c r="Y59">
        <v>3</v>
      </c>
      <c r="Z59">
        <v>2.5</v>
      </c>
      <c r="AA59" s="168"/>
      <c r="AB59" s="168"/>
      <c r="AC59" s="290"/>
      <c r="AD59" s="337"/>
      <c r="AE59" s="337"/>
      <c r="AF59" s="337"/>
      <c r="AG59" s="168"/>
      <c r="AH59" s="294"/>
      <c r="AI59" s="168"/>
      <c r="AJ59" s="168"/>
      <c r="AK59" s="290"/>
      <c r="AL59" s="337"/>
      <c r="AM59" s="337"/>
      <c r="AN59" s="337"/>
      <c r="AO59" s="166"/>
      <c r="AP59" s="166"/>
      <c r="AQ59" s="166"/>
      <c r="AR59" s="166"/>
      <c r="AS59" s="166"/>
      <c r="AT59" s="166"/>
      <c r="AU59" s="166"/>
      <c r="AV59" s="166"/>
      <c r="AW59" s="166"/>
      <c r="AX59" s="166"/>
      <c r="AY59" s="166"/>
    </row>
    <row r="60" spans="2:51" x14ac:dyDescent="0.2">
      <c r="B60" s="360"/>
      <c r="C60" s="322"/>
      <c r="D60" s="322"/>
      <c r="E60" s="323"/>
      <c r="F60" s="324"/>
      <c r="G60" s="324"/>
      <c r="H60" s="341"/>
      <c r="I60" s="168"/>
      <c r="J60" s="26" t="s">
        <v>1244</v>
      </c>
      <c r="K60" s="14">
        <v>0.375</v>
      </c>
      <c r="L60" s="14">
        <v>0.75</v>
      </c>
      <c r="M60" s="124">
        <v>6.6</v>
      </c>
      <c r="N60" s="321">
        <f t="shared" si="8"/>
        <v>9.821882692094615</v>
      </c>
      <c r="O60" s="226">
        <f t="shared" si="9"/>
        <v>0.91666666666666663</v>
      </c>
      <c r="P60" s="281">
        <f t="shared" si="10"/>
        <v>0.27940000042468799</v>
      </c>
      <c r="Y60">
        <v>3</v>
      </c>
      <c r="Z60">
        <v>2.5</v>
      </c>
      <c r="AA60" s="168"/>
      <c r="AB60" s="168"/>
      <c r="AC60" s="290"/>
      <c r="AD60" s="337"/>
      <c r="AE60" s="337"/>
      <c r="AF60" s="337"/>
      <c r="AG60" s="168"/>
      <c r="AH60" s="294"/>
      <c r="AI60" s="168"/>
      <c r="AJ60" s="168"/>
      <c r="AK60" s="290"/>
      <c r="AL60" s="337"/>
      <c r="AM60" s="337"/>
      <c r="AN60" s="337"/>
      <c r="AO60" s="166"/>
      <c r="AP60" s="166"/>
      <c r="AQ60" s="166"/>
      <c r="AR60" s="166"/>
      <c r="AS60" s="166"/>
      <c r="AT60" s="166"/>
      <c r="AU60" s="166"/>
      <c r="AV60" s="166"/>
      <c r="AW60" s="166"/>
      <c r="AX60" s="166"/>
      <c r="AY60" s="166"/>
    </row>
    <row r="61" spans="2:51" x14ac:dyDescent="0.2">
      <c r="B61" s="26" t="s">
        <v>1233</v>
      </c>
      <c r="C61" s="162">
        <v>0.875</v>
      </c>
      <c r="D61" s="162">
        <v>1.375</v>
      </c>
      <c r="E61" s="154">
        <v>27.2</v>
      </c>
      <c r="F61" s="277">
        <f t="shared" si="1"/>
        <v>40.478062003783876</v>
      </c>
      <c r="G61" s="277">
        <f t="shared" ref="G61:G68" si="11">((R61*2)+(S61*2))*12/144</f>
        <v>1.6666666666666667</v>
      </c>
      <c r="H61" s="277">
        <f>G61*3.2808399*0.09290304</f>
        <v>0.50800000077216012</v>
      </c>
      <c r="I61" s="168"/>
      <c r="J61" s="26" t="s">
        <v>1244</v>
      </c>
      <c r="K61" s="156">
        <v>0.3125</v>
      </c>
      <c r="L61" s="156">
        <v>0.6875</v>
      </c>
      <c r="M61" s="158">
        <v>5.6</v>
      </c>
      <c r="N61" s="278">
        <f t="shared" si="8"/>
        <v>8.3337186478378555</v>
      </c>
      <c r="O61" s="277">
        <f t="shared" si="9"/>
        <v>0.91666666666666663</v>
      </c>
      <c r="P61" s="277">
        <f t="shared" si="10"/>
        <v>0.27940000042468799</v>
      </c>
      <c r="R61">
        <v>6</v>
      </c>
      <c r="S61">
        <v>4</v>
      </c>
      <c r="Y61">
        <v>3</v>
      </c>
      <c r="Z61">
        <v>2.5</v>
      </c>
      <c r="AA61" s="168"/>
      <c r="AB61" s="168"/>
      <c r="AC61" s="290"/>
      <c r="AD61" s="337"/>
      <c r="AE61" s="337"/>
      <c r="AF61" s="337"/>
      <c r="AG61" s="168"/>
      <c r="AH61" s="294"/>
      <c r="AI61" s="168"/>
      <c r="AJ61" s="168"/>
      <c r="AK61" s="290"/>
      <c r="AL61" s="337"/>
      <c r="AM61" s="337"/>
      <c r="AN61" s="337"/>
      <c r="AO61" s="166"/>
      <c r="AP61" s="166"/>
      <c r="AQ61" s="166"/>
      <c r="AR61" s="166"/>
      <c r="AS61" s="166"/>
      <c r="AT61" s="166"/>
      <c r="AU61" s="166"/>
      <c r="AV61" s="166"/>
      <c r="AW61" s="166"/>
      <c r="AX61" s="166"/>
      <c r="AY61" s="166"/>
    </row>
    <row r="62" spans="2:51" x14ac:dyDescent="0.2">
      <c r="B62" s="26" t="s">
        <v>1233</v>
      </c>
      <c r="C62" s="14">
        <v>0.75</v>
      </c>
      <c r="D62" s="14">
        <v>1.25</v>
      </c>
      <c r="E62" s="124">
        <v>23.6</v>
      </c>
      <c r="F62" s="279">
        <f t="shared" si="1"/>
        <v>35.120671444459539</v>
      </c>
      <c r="G62" s="226">
        <f t="shared" si="11"/>
        <v>1.6666666666666667</v>
      </c>
      <c r="H62" s="281">
        <f t="shared" si="0"/>
        <v>0.50800000077216012</v>
      </c>
      <c r="I62" s="168"/>
      <c r="J62" s="26" t="s">
        <v>1244</v>
      </c>
      <c r="K62" s="14">
        <v>0.25</v>
      </c>
      <c r="L62" s="14">
        <v>0.625</v>
      </c>
      <c r="M62" s="124">
        <v>4.5</v>
      </c>
      <c r="N62" s="321">
        <f t="shared" si="8"/>
        <v>6.69673819915542</v>
      </c>
      <c r="O62" s="226">
        <f t="shared" si="9"/>
        <v>0.91666666666666663</v>
      </c>
      <c r="P62" s="281">
        <f t="shared" si="10"/>
        <v>0.27940000042468799</v>
      </c>
      <c r="R62">
        <v>6</v>
      </c>
      <c r="S62">
        <v>4</v>
      </c>
      <c r="Y62">
        <v>3</v>
      </c>
      <c r="Z62">
        <v>2.5</v>
      </c>
      <c r="AA62" s="168"/>
      <c r="AB62" s="168"/>
      <c r="AC62" s="290"/>
      <c r="AD62" s="337"/>
      <c r="AE62" s="337"/>
      <c r="AF62" s="337"/>
      <c r="AG62" s="168"/>
      <c r="AH62" s="294"/>
      <c r="AI62" s="168"/>
      <c r="AJ62" s="168"/>
      <c r="AK62" s="290"/>
      <c r="AL62" s="337"/>
      <c r="AM62" s="337"/>
      <c r="AN62" s="337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</row>
    <row r="63" spans="2:51" x14ac:dyDescent="0.2">
      <c r="B63" s="26" t="s">
        <v>1233</v>
      </c>
      <c r="C63" s="14">
        <v>0.625</v>
      </c>
      <c r="D63" s="14">
        <v>1.125</v>
      </c>
      <c r="E63" s="124">
        <v>20</v>
      </c>
      <c r="F63" s="279">
        <f t="shared" si="1"/>
        <v>29.763280885135202</v>
      </c>
      <c r="G63" s="226">
        <f t="shared" si="11"/>
        <v>1.6666666666666667</v>
      </c>
      <c r="H63" s="281">
        <f t="shared" si="0"/>
        <v>0.50800000077216012</v>
      </c>
      <c r="I63" s="168"/>
      <c r="J63" s="26" t="s">
        <v>1244</v>
      </c>
      <c r="K63" s="362">
        <v>0.1875</v>
      </c>
      <c r="L63" s="362">
        <v>0.5625</v>
      </c>
      <c r="M63" s="363">
        <v>3.39</v>
      </c>
      <c r="N63" s="321">
        <f t="shared" si="8"/>
        <v>5.0448761100304171</v>
      </c>
      <c r="O63" s="364">
        <f t="shared" si="9"/>
        <v>0.91666666666666663</v>
      </c>
      <c r="P63" s="281">
        <f t="shared" si="10"/>
        <v>0.27940000042468799</v>
      </c>
      <c r="R63">
        <v>6</v>
      </c>
      <c r="S63">
        <v>4</v>
      </c>
      <c r="Y63">
        <v>3</v>
      </c>
      <c r="Z63">
        <v>2.5</v>
      </c>
      <c r="AA63" s="168"/>
      <c r="AB63" s="168"/>
      <c r="AC63" s="290"/>
      <c r="AD63" s="337"/>
      <c r="AE63" s="337"/>
      <c r="AF63" s="337"/>
      <c r="AG63" s="168"/>
      <c r="AH63" s="294"/>
      <c r="AI63" s="168"/>
      <c r="AJ63" s="168"/>
      <c r="AK63" s="290"/>
      <c r="AL63" s="337"/>
      <c r="AM63" s="337"/>
      <c r="AN63" s="337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</row>
    <row r="64" spans="2:51" x14ac:dyDescent="0.2">
      <c r="B64" s="26" t="s">
        <v>1233</v>
      </c>
      <c r="C64" s="156">
        <v>0.5625</v>
      </c>
      <c r="D64" s="156">
        <v>1.0625</v>
      </c>
      <c r="E64" s="158">
        <v>18.100000000000001</v>
      </c>
      <c r="F64" s="278">
        <f t="shared" si="1"/>
        <v>26.935769201047361</v>
      </c>
      <c r="G64" s="278">
        <f t="shared" si="11"/>
        <v>1.6666666666666667</v>
      </c>
      <c r="H64" s="277">
        <f>G64*3.2808399*0.09290304</f>
        <v>0.50800000077216012</v>
      </c>
      <c r="I64" s="168"/>
      <c r="J64" s="360"/>
      <c r="K64" s="322"/>
      <c r="L64" s="322"/>
      <c r="M64" s="323"/>
      <c r="N64" s="323"/>
      <c r="O64" s="343"/>
      <c r="P64" s="361"/>
      <c r="R64">
        <v>6</v>
      </c>
      <c r="S64">
        <v>4</v>
      </c>
      <c r="AA64" s="168"/>
      <c r="AB64" s="168"/>
      <c r="AC64" s="290"/>
      <c r="AD64" s="337"/>
      <c r="AE64" s="337"/>
      <c r="AF64" s="337"/>
      <c r="AG64" s="168"/>
      <c r="AH64" s="294"/>
      <c r="AI64" s="168"/>
      <c r="AJ64" s="168"/>
      <c r="AK64" s="290"/>
      <c r="AL64" s="290"/>
      <c r="AM64" s="166"/>
      <c r="AN64" s="294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</row>
    <row r="65" spans="2:51" x14ac:dyDescent="0.2">
      <c r="B65" s="26" t="s">
        <v>1233</v>
      </c>
      <c r="C65" s="14">
        <v>0.5</v>
      </c>
      <c r="D65" s="14">
        <v>1</v>
      </c>
      <c r="E65" s="124">
        <v>16.2</v>
      </c>
      <c r="F65" s="279">
        <f t="shared" si="1"/>
        <v>24.108257516959512</v>
      </c>
      <c r="G65" s="226">
        <f t="shared" si="11"/>
        <v>1.6666666666666667</v>
      </c>
      <c r="H65" s="281">
        <f t="shared" si="0"/>
        <v>0.50800000077216012</v>
      </c>
      <c r="I65" s="168"/>
      <c r="J65" s="26" t="s">
        <v>1245</v>
      </c>
      <c r="K65" s="162">
        <v>0.5</v>
      </c>
      <c r="L65" s="162">
        <v>0.8125</v>
      </c>
      <c r="M65" s="154">
        <v>7.7</v>
      </c>
      <c r="N65" s="277">
        <f t="shared" ref="N65:N70" si="12">M65*3.2808399*0.4535924</f>
        <v>11.458863140777053</v>
      </c>
      <c r="O65" s="277">
        <f t="shared" ref="O65:O70" si="13">((Y65*2)+(Z65*2))*12/144</f>
        <v>0.83333333333333337</v>
      </c>
      <c r="P65" s="277">
        <f t="shared" ref="P65:P70" si="14">O65*3.2808399*0.09290304</f>
        <v>0.25400000038608006</v>
      </c>
      <c r="R65">
        <v>6</v>
      </c>
      <c r="S65">
        <v>4</v>
      </c>
      <c r="Y65">
        <v>3</v>
      </c>
      <c r="Z65">
        <v>2</v>
      </c>
      <c r="AA65" s="168"/>
      <c r="AB65" s="168"/>
      <c r="AC65" s="290"/>
      <c r="AD65" s="337"/>
      <c r="AE65" s="337"/>
      <c r="AF65" s="337"/>
      <c r="AG65" s="168"/>
      <c r="AH65" s="294"/>
      <c r="AI65" s="168"/>
      <c r="AJ65" s="168"/>
      <c r="AK65" s="290"/>
      <c r="AL65" s="337"/>
      <c r="AM65" s="337"/>
      <c r="AN65" s="337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</row>
    <row r="66" spans="2:51" x14ac:dyDescent="0.2">
      <c r="B66" s="26" t="s">
        <v>1233</v>
      </c>
      <c r="C66" s="156">
        <v>0.4375</v>
      </c>
      <c r="D66" s="156">
        <v>0.9375</v>
      </c>
      <c r="E66" s="158">
        <v>14.3</v>
      </c>
      <c r="F66" s="278">
        <f t="shared" si="1"/>
        <v>21.28074583287167</v>
      </c>
      <c r="G66" s="278">
        <f t="shared" si="11"/>
        <v>1.6666666666666667</v>
      </c>
      <c r="H66" s="277">
        <f>G66*3.2808399*0.09290304</f>
        <v>0.50800000077216012</v>
      </c>
      <c r="I66" s="168"/>
      <c r="J66" s="26" t="s">
        <v>1245</v>
      </c>
      <c r="K66" s="156">
        <v>0.4375</v>
      </c>
      <c r="L66" s="156">
        <v>0.75</v>
      </c>
      <c r="M66" s="158">
        <v>6.8</v>
      </c>
      <c r="N66" s="278">
        <f t="shared" si="12"/>
        <v>10.119515500945969</v>
      </c>
      <c r="O66" s="277">
        <f t="shared" si="13"/>
        <v>0.83333333333333337</v>
      </c>
      <c r="P66" s="277">
        <f t="shared" si="14"/>
        <v>0.25400000038608006</v>
      </c>
      <c r="R66">
        <v>6</v>
      </c>
      <c r="S66">
        <v>4</v>
      </c>
      <c r="Y66">
        <v>3</v>
      </c>
      <c r="Z66">
        <v>2</v>
      </c>
      <c r="AA66" s="168"/>
      <c r="AB66" s="168"/>
      <c r="AC66" s="290"/>
      <c r="AD66" s="337"/>
      <c r="AE66" s="337"/>
      <c r="AF66" s="337"/>
      <c r="AG66" s="168"/>
      <c r="AH66" s="294"/>
      <c r="AI66" s="168"/>
      <c r="AJ66" s="168"/>
      <c r="AK66" s="290"/>
      <c r="AL66" s="337"/>
      <c r="AM66" s="337"/>
      <c r="AN66" s="337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</row>
    <row r="67" spans="2:51" x14ac:dyDescent="0.2">
      <c r="B67" s="26" t="s">
        <v>1233</v>
      </c>
      <c r="C67" s="14">
        <v>0.375</v>
      </c>
      <c r="D67" s="14">
        <v>0.875</v>
      </c>
      <c r="E67" s="124">
        <v>12.3</v>
      </c>
      <c r="F67" s="279">
        <f t="shared" si="1"/>
        <v>18.304417744358151</v>
      </c>
      <c r="G67" s="226">
        <f t="shared" si="11"/>
        <v>1.6666666666666667</v>
      </c>
      <c r="H67" s="281">
        <f t="shared" si="0"/>
        <v>0.50800000077216012</v>
      </c>
      <c r="I67" s="168"/>
      <c r="J67" s="26" t="s">
        <v>1245</v>
      </c>
      <c r="K67" s="14">
        <v>0.375</v>
      </c>
      <c r="L67" s="14">
        <v>0.6875</v>
      </c>
      <c r="M67" s="124">
        <v>5.9</v>
      </c>
      <c r="N67" s="321">
        <f t="shared" si="12"/>
        <v>8.7801678611148848</v>
      </c>
      <c r="O67" s="226">
        <f t="shared" si="13"/>
        <v>0.83333333333333337</v>
      </c>
      <c r="P67" s="281">
        <f t="shared" si="14"/>
        <v>0.25400000038608006</v>
      </c>
      <c r="R67">
        <v>6</v>
      </c>
      <c r="S67">
        <v>4</v>
      </c>
      <c r="Y67">
        <v>3</v>
      </c>
      <c r="Z67">
        <v>2</v>
      </c>
      <c r="AA67" s="168"/>
      <c r="AB67" s="168"/>
      <c r="AC67" s="290"/>
      <c r="AD67" s="337"/>
      <c r="AE67" s="337"/>
      <c r="AF67" s="337"/>
      <c r="AG67" s="168"/>
      <c r="AH67" s="294"/>
      <c r="AI67" s="168"/>
      <c r="AJ67" s="168"/>
      <c r="AK67" s="290"/>
      <c r="AL67" s="337"/>
      <c r="AM67" s="337"/>
      <c r="AN67" s="337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</row>
    <row r="68" spans="2:51" x14ac:dyDescent="0.2">
      <c r="B68" s="26" t="s">
        <v>1233</v>
      </c>
      <c r="C68" s="357">
        <v>0.3125</v>
      </c>
      <c r="D68" s="357">
        <v>0.8125</v>
      </c>
      <c r="E68" s="358">
        <v>10.3</v>
      </c>
      <c r="F68" s="332">
        <f t="shared" si="1"/>
        <v>15.32808965584463</v>
      </c>
      <c r="G68" s="332">
        <f t="shared" si="11"/>
        <v>1.6666666666666667</v>
      </c>
      <c r="H68" s="277">
        <f>G68*3.2808399*0.09290304</f>
        <v>0.50800000077216012</v>
      </c>
      <c r="I68" s="168"/>
      <c r="J68" s="26" t="s">
        <v>1245</v>
      </c>
      <c r="K68" s="14">
        <v>0.3125</v>
      </c>
      <c r="L68" s="14">
        <v>0.625</v>
      </c>
      <c r="M68" s="124">
        <v>5</v>
      </c>
      <c r="N68" s="321">
        <f t="shared" si="12"/>
        <v>7.4408202212838006</v>
      </c>
      <c r="O68" s="226">
        <f t="shared" si="13"/>
        <v>0.83333333333333337</v>
      </c>
      <c r="P68" s="281">
        <f t="shared" si="14"/>
        <v>0.25400000038608006</v>
      </c>
      <c r="R68">
        <v>6</v>
      </c>
      <c r="S68">
        <v>4</v>
      </c>
      <c r="Y68">
        <v>3</v>
      </c>
      <c r="Z68">
        <v>2</v>
      </c>
      <c r="AA68" s="168"/>
      <c r="AB68" s="168"/>
      <c r="AC68" s="290"/>
      <c r="AD68" s="337"/>
      <c r="AE68" s="337"/>
      <c r="AF68" s="337"/>
      <c r="AG68" s="168"/>
      <c r="AH68" s="294"/>
      <c r="AI68" s="168"/>
      <c r="AJ68" s="168"/>
      <c r="AK68" s="290"/>
      <c r="AL68" s="337"/>
      <c r="AM68" s="337"/>
      <c r="AN68" s="337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</row>
    <row r="69" spans="2:51" x14ac:dyDescent="0.2">
      <c r="B69" s="360"/>
      <c r="C69" s="322"/>
      <c r="D69" s="322"/>
      <c r="E69" s="323"/>
      <c r="F69" s="324"/>
      <c r="G69" s="324"/>
      <c r="H69" s="341"/>
      <c r="I69" s="168"/>
      <c r="J69" s="26" t="s">
        <v>1245</v>
      </c>
      <c r="K69" s="14">
        <v>0.25</v>
      </c>
      <c r="L69" s="14">
        <v>0.5625</v>
      </c>
      <c r="M69" s="124">
        <v>4.0999999999999996</v>
      </c>
      <c r="N69" s="321">
        <f t="shared" si="12"/>
        <v>6.1014725814527164</v>
      </c>
      <c r="O69" s="226">
        <f t="shared" si="13"/>
        <v>0.83333333333333337</v>
      </c>
      <c r="P69" s="281">
        <f t="shared" si="14"/>
        <v>0.25400000038608006</v>
      </c>
      <c r="Y69">
        <v>3</v>
      </c>
      <c r="Z69">
        <v>2</v>
      </c>
      <c r="AA69" s="168"/>
      <c r="AB69" s="168"/>
      <c r="AC69" s="290"/>
      <c r="AD69" s="337"/>
      <c r="AE69" s="337"/>
      <c r="AF69" s="337"/>
      <c r="AG69" s="168"/>
      <c r="AH69" s="294"/>
      <c r="AI69" s="168"/>
      <c r="AJ69" s="168"/>
      <c r="AK69" s="290"/>
      <c r="AL69" s="337"/>
      <c r="AM69" s="337"/>
      <c r="AN69" s="337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</row>
    <row r="70" spans="2:51" x14ac:dyDescent="0.2">
      <c r="B70" s="26" t="s">
        <v>1234</v>
      </c>
      <c r="C70" s="162">
        <v>0.5</v>
      </c>
      <c r="D70" s="162">
        <v>1</v>
      </c>
      <c r="E70" s="154">
        <v>15.3</v>
      </c>
      <c r="F70" s="277">
        <f t="shared" si="1"/>
        <v>22.768909877128429</v>
      </c>
      <c r="G70" s="277">
        <f>((R70*2)+(S70*2))*12/144</f>
        <v>1.5833333333333333</v>
      </c>
      <c r="H70" s="277">
        <f>G70*3.2808399*0.09290304</f>
        <v>0.48260000073355197</v>
      </c>
      <c r="I70" s="168"/>
      <c r="J70" s="26" t="s">
        <v>1245</v>
      </c>
      <c r="K70" s="362">
        <v>0.1875</v>
      </c>
      <c r="L70" s="362">
        <v>0.5</v>
      </c>
      <c r="M70" s="363">
        <v>3.07</v>
      </c>
      <c r="N70" s="321">
        <f t="shared" si="12"/>
        <v>4.5686636158682532</v>
      </c>
      <c r="O70" s="364">
        <f t="shared" si="13"/>
        <v>0.83333333333333337</v>
      </c>
      <c r="P70" s="281">
        <f t="shared" si="14"/>
        <v>0.25400000038608006</v>
      </c>
      <c r="R70">
        <v>6</v>
      </c>
      <c r="S70">
        <v>3.5</v>
      </c>
      <c r="Y70">
        <v>3</v>
      </c>
      <c r="Z70">
        <v>2</v>
      </c>
      <c r="AA70" s="168"/>
      <c r="AB70" s="168"/>
      <c r="AC70" s="290"/>
      <c r="AD70" s="337"/>
      <c r="AE70" s="337"/>
      <c r="AF70" s="337"/>
      <c r="AG70" s="168"/>
      <c r="AH70" s="294"/>
      <c r="AI70" s="168"/>
      <c r="AJ70" s="168"/>
      <c r="AK70" s="290"/>
      <c r="AL70" s="337"/>
      <c r="AM70" s="337"/>
      <c r="AN70" s="337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</row>
    <row r="71" spans="2:51" x14ac:dyDescent="0.2">
      <c r="B71" s="26" t="s">
        <v>1234</v>
      </c>
      <c r="C71" s="14">
        <v>0.375</v>
      </c>
      <c r="D71" s="14">
        <v>0.875</v>
      </c>
      <c r="E71" s="124">
        <v>11.7</v>
      </c>
      <c r="F71" s="279">
        <f t="shared" si="1"/>
        <v>17.411519317804093</v>
      </c>
      <c r="G71" s="226">
        <f>((R71*2)+(S71*2))*12/144</f>
        <v>1.5833333333333333</v>
      </c>
      <c r="H71" s="281">
        <f t="shared" si="0"/>
        <v>0.48260000073355197</v>
      </c>
      <c r="I71" s="168"/>
      <c r="J71" s="360"/>
      <c r="K71" s="322"/>
      <c r="L71" s="322"/>
      <c r="M71" s="323"/>
      <c r="N71" s="323"/>
      <c r="O71" s="365"/>
      <c r="P71" s="361"/>
      <c r="R71">
        <v>6</v>
      </c>
      <c r="S71">
        <v>3.5</v>
      </c>
      <c r="AA71" s="168"/>
      <c r="AB71" s="168"/>
      <c r="AC71" s="290"/>
      <c r="AD71" s="337"/>
      <c r="AE71" s="337"/>
      <c r="AF71" s="337"/>
      <c r="AG71" s="168"/>
      <c r="AH71" s="294"/>
      <c r="AI71" s="168"/>
      <c r="AJ71" s="168"/>
      <c r="AK71" s="290"/>
      <c r="AL71" s="290"/>
      <c r="AM71" s="294"/>
      <c r="AN71" s="294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</row>
    <row r="72" spans="2:51" x14ac:dyDescent="0.2">
      <c r="B72" s="26" t="s">
        <v>1234</v>
      </c>
      <c r="C72" s="362">
        <v>0.3125</v>
      </c>
      <c r="D72" s="362">
        <v>0.8125</v>
      </c>
      <c r="E72" s="363">
        <v>9.8000000000000007</v>
      </c>
      <c r="F72" s="321">
        <f t="shared" si="1"/>
        <v>14.584007633716249</v>
      </c>
      <c r="G72" s="364">
        <f>((R72*2)+(S72*2))*12/144</f>
        <v>1.5833333333333333</v>
      </c>
      <c r="H72" s="281">
        <f t="shared" si="0"/>
        <v>0.48260000073355197</v>
      </c>
      <c r="I72" s="168"/>
      <c r="J72" s="26" t="s">
        <v>1246</v>
      </c>
      <c r="K72" s="162">
        <v>0.5</v>
      </c>
      <c r="L72" s="162">
        <v>0.8125</v>
      </c>
      <c r="M72" s="154">
        <v>7.7</v>
      </c>
      <c r="N72" s="277">
        <f>M72*3.2808399*0.4535924</f>
        <v>11.458863140777053</v>
      </c>
      <c r="O72" s="277">
        <f>((Y72*2)+(Z72*2))*12/144</f>
        <v>0.83333333333333337</v>
      </c>
      <c r="P72" s="277">
        <f>O72*3.2808399*0.09290304</f>
        <v>0.25400000038608006</v>
      </c>
      <c r="R72">
        <v>6</v>
      </c>
      <c r="S72">
        <v>3.5</v>
      </c>
      <c r="Y72">
        <v>2.5</v>
      </c>
      <c r="Z72">
        <v>2.5</v>
      </c>
      <c r="AA72" s="168"/>
      <c r="AB72" s="168"/>
      <c r="AC72" s="290"/>
      <c r="AD72" s="337"/>
      <c r="AE72" s="337"/>
      <c r="AF72" s="337"/>
      <c r="AG72" s="168"/>
      <c r="AH72" s="294"/>
      <c r="AI72" s="168"/>
      <c r="AJ72" s="168"/>
      <c r="AK72" s="290"/>
      <c r="AL72" s="337"/>
      <c r="AM72" s="337"/>
      <c r="AN72" s="337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</row>
    <row r="73" spans="2:51" x14ac:dyDescent="0.2">
      <c r="B73" s="360"/>
      <c r="C73" s="322"/>
      <c r="D73" s="322"/>
      <c r="E73" s="323"/>
      <c r="F73" s="324"/>
      <c r="G73" s="343"/>
      <c r="H73" s="361"/>
      <c r="I73" s="168"/>
      <c r="J73" s="26" t="s">
        <v>1246</v>
      </c>
      <c r="K73" s="14">
        <v>0.375</v>
      </c>
      <c r="L73" s="14">
        <v>0.6875</v>
      </c>
      <c r="M73" s="124">
        <v>5.9</v>
      </c>
      <c r="N73" s="321">
        <f>M73*3.2808399*0.4535924</f>
        <v>8.7801678611148848</v>
      </c>
      <c r="O73" s="226">
        <f>((Y73*2)+(Z73*2))*12/144</f>
        <v>0.83333333333333337</v>
      </c>
      <c r="P73" s="281">
        <f>O73*3.2808399*0.09290304</f>
        <v>0.25400000038608006</v>
      </c>
      <c r="R73" t="s">
        <v>899</v>
      </c>
      <c r="Y73">
        <v>2.5</v>
      </c>
      <c r="Z73">
        <v>2.5</v>
      </c>
      <c r="AA73" s="168"/>
      <c r="AB73" s="168"/>
      <c r="AC73" s="290"/>
      <c r="AD73" s="337"/>
      <c r="AE73" s="166"/>
      <c r="AF73" s="294"/>
      <c r="AG73" s="168"/>
      <c r="AH73" s="294"/>
      <c r="AI73" s="168"/>
      <c r="AJ73" s="168"/>
      <c r="AK73" s="290"/>
      <c r="AL73" s="337"/>
      <c r="AM73" s="337"/>
      <c r="AN73" s="337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</row>
    <row r="74" spans="2:51" x14ac:dyDescent="0.2">
      <c r="B74" s="26" t="s">
        <v>1235</v>
      </c>
      <c r="C74" s="295">
        <v>0.875</v>
      </c>
      <c r="D74" s="295">
        <v>1.375</v>
      </c>
      <c r="E74" s="296">
        <v>27.2</v>
      </c>
      <c r="F74" s="281">
        <f t="shared" si="1"/>
        <v>40.478062003783876</v>
      </c>
      <c r="G74" s="359">
        <f t="shared" ref="G74:G80" si="15">((R74*2)+(S74*2))*12/144</f>
        <v>1.6666666666666667</v>
      </c>
      <c r="H74" s="281">
        <f t="shared" si="0"/>
        <v>0.50800000077216012</v>
      </c>
      <c r="I74" s="168"/>
      <c r="J74" s="26" t="s">
        <v>1246</v>
      </c>
      <c r="K74" s="14">
        <v>0.3125</v>
      </c>
      <c r="L74" s="14">
        <v>0.625</v>
      </c>
      <c r="M74" s="124">
        <v>5</v>
      </c>
      <c r="N74" s="321">
        <f>M74*3.2808399*0.4535924</f>
        <v>7.4408202212838006</v>
      </c>
      <c r="O74" s="226">
        <f>((Y74*2)+(Z74*2))*12/144</f>
        <v>0.83333333333333337</v>
      </c>
      <c r="P74" s="281">
        <f>O74*3.2808399*0.09290304</f>
        <v>0.25400000038608006</v>
      </c>
      <c r="R74">
        <v>5</v>
      </c>
      <c r="S74">
        <v>5</v>
      </c>
      <c r="Y74">
        <v>2.5</v>
      </c>
      <c r="Z74">
        <v>2.5</v>
      </c>
      <c r="AA74" s="168"/>
      <c r="AB74" s="168"/>
      <c r="AC74" s="290"/>
      <c r="AD74" s="337"/>
      <c r="AE74" s="337"/>
      <c r="AF74" s="337"/>
      <c r="AG74" s="168"/>
      <c r="AH74" s="294"/>
      <c r="AI74" s="168"/>
      <c r="AJ74" s="168"/>
      <c r="AK74" s="290"/>
      <c r="AL74" s="337"/>
      <c r="AM74" s="337"/>
      <c r="AN74" s="337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</row>
    <row r="75" spans="2:51" x14ac:dyDescent="0.2">
      <c r="B75" s="26" t="s">
        <v>1235</v>
      </c>
      <c r="C75" s="14">
        <v>0.75</v>
      </c>
      <c r="D75" s="14">
        <v>1.25</v>
      </c>
      <c r="E75" s="164">
        <v>23.6</v>
      </c>
      <c r="F75" s="279">
        <f t="shared" si="1"/>
        <v>35.120671444459539</v>
      </c>
      <c r="G75" s="226">
        <f t="shared" si="15"/>
        <v>1.6666666666666667</v>
      </c>
      <c r="H75" s="281">
        <f t="shared" si="0"/>
        <v>0.50800000077216012</v>
      </c>
      <c r="I75" s="168"/>
      <c r="J75" s="26" t="s">
        <v>1246</v>
      </c>
      <c r="K75" s="14">
        <v>0.25</v>
      </c>
      <c r="L75" s="14">
        <v>0.5625</v>
      </c>
      <c r="M75" s="124">
        <v>4.0999999999999996</v>
      </c>
      <c r="N75" s="321">
        <f>M75*3.2808399*0.4535924</f>
        <v>6.1014725814527164</v>
      </c>
      <c r="O75" s="226">
        <f>((Y75*2)+(Z75*2))*12/144</f>
        <v>0.83333333333333337</v>
      </c>
      <c r="P75" s="281">
        <f>O75*3.2808399*0.09290304</f>
        <v>0.25400000038608006</v>
      </c>
      <c r="R75">
        <v>5</v>
      </c>
      <c r="S75">
        <v>5</v>
      </c>
      <c r="Y75">
        <v>2.5</v>
      </c>
      <c r="Z75">
        <v>2.5</v>
      </c>
      <c r="AA75" s="168"/>
      <c r="AB75" s="168"/>
      <c r="AC75" s="290"/>
      <c r="AD75" s="337"/>
      <c r="AE75" s="337"/>
      <c r="AF75" s="337"/>
      <c r="AG75" s="168"/>
      <c r="AH75" s="294"/>
      <c r="AI75" s="168"/>
      <c r="AJ75" s="168"/>
      <c r="AK75" s="290"/>
      <c r="AL75" s="337"/>
      <c r="AM75" s="337"/>
      <c r="AN75" s="337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</row>
    <row r="76" spans="2:51" x14ac:dyDescent="0.2">
      <c r="B76" s="26" t="s">
        <v>1235</v>
      </c>
      <c r="C76" s="156">
        <v>0.625</v>
      </c>
      <c r="D76" s="156">
        <v>1.125</v>
      </c>
      <c r="E76" s="158">
        <v>20</v>
      </c>
      <c r="F76" s="278">
        <f t="shared" si="1"/>
        <v>29.763280885135202</v>
      </c>
      <c r="G76" s="278">
        <f t="shared" si="15"/>
        <v>1.6666666666666667</v>
      </c>
      <c r="H76" s="277">
        <f>G76*3.2808399*0.09290304</f>
        <v>0.50800000077216012</v>
      </c>
      <c r="I76" s="168"/>
      <c r="J76" s="26" t="s">
        <v>1246</v>
      </c>
      <c r="K76" s="362">
        <v>0.1875</v>
      </c>
      <c r="L76" s="362">
        <v>0.5</v>
      </c>
      <c r="M76" s="363">
        <v>3.07</v>
      </c>
      <c r="N76" s="321">
        <f>M76*3.2808399*0.4535924</f>
        <v>4.5686636158682532</v>
      </c>
      <c r="O76" s="364">
        <f>((Y76*2)+(Z76*2))*12/144</f>
        <v>0.83333333333333337</v>
      </c>
      <c r="P76" s="281">
        <f>O76*3.2808399*0.09290304</f>
        <v>0.25400000038608006</v>
      </c>
      <c r="R76">
        <v>5</v>
      </c>
      <c r="S76">
        <v>5</v>
      </c>
      <c r="Y76">
        <v>2.5</v>
      </c>
      <c r="Z76">
        <v>2.5</v>
      </c>
      <c r="AA76" s="168"/>
      <c r="AB76" s="168"/>
      <c r="AC76" s="290"/>
      <c r="AD76" s="337"/>
      <c r="AE76" s="337"/>
      <c r="AF76" s="337"/>
      <c r="AG76" s="168"/>
      <c r="AH76" s="294"/>
      <c r="AI76" s="168"/>
      <c r="AJ76" s="168"/>
      <c r="AK76" s="290"/>
      <c r="AL76" s="337"/>
      <c r="AM76" s="337"/>
      <c r="AN76" s="337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</row>
    <row r="77" spans="2:51" x14ac:dyDescent="0.2">
      <c r="B77" s="26" t="s">
        <v>1235</v>
      </c>
      <c r="C77" s="14">
        <v>0.5</v>
      </c>
      <c r="D77" s="14">
        <v>1</v>
      </c>
      <c r="E77" s="124">
        <v>16.2</v>
      </c>
      <c r="F77" s="279">
        <f t="shared" si="1"/>
        <v>24.108257516959512</v>
      </c>
      <c r="G77" s="226">
        <f t="shared" si="15"/>
        <v>1.6666666666666667</v>
      </c>
      <c r="H77" s="281">
        <f t="shared" si="0"/>
        <v>0.50800000077216012</v>
      </c>
      <c r="I77" s="168"/>
      <c r="J77" s="360"/>
      <c r="K77" s="322"/>
      <c r="L77" s="322"/>
      <c r="M77" s="323"/>
      <c r="N77" s="323"/>
      <c r="O77" s="343"/>
      <c r="P77" s="361"/>
      <c r="R77">
        <v>5</v>
      </c>
      <c r="S77">
        <v>5</v>
      </c>
      <c r="AA77" s="168"/>
      <c r="AB77" s="168"/>
      <c r="AC77" s="290"/>
      <c r="AD77" s="337"/>
      <c r="AE77" s="337"/>
      <c r="AF77" s="337"/>
      <c r="AG77" s="168"/>
      <c r="AH77" s="294"/>
      <c r="AI77" s="168"/>
      <c r="AJ77" s="168"/>
      <c r="AK77" s="290"/>
      <c r="AL77" s="290"/>
      <c r="AM77" s="166"/>
      <c r="AN77" s="294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</row>
    <row r="78" spans="2:51" x14ac:dyDescent="0.2">
      <c r="B78" s="26" t="s">
        <v>1235</v>
      </c>
      <c r="C78" s="156">
        <v>0.4375</v>
      </c>
      <c r="D78" s="156">
        <v>0.9375</v>
      </c>
      <c r="E78" s="158">
        <v>14.3</v>
      </c>
      <c r="F78" s="278">
        <f t="shared" si="1"/>
        <v>21.28074583287167</v>
      </c>
      <c r="G78" s="278">
        <f t="shared" si="15"/>
        <v>1.6666666666666667</v>
      </c>
      <c r="H78" s="277">
        <f>G78*3.2808399*0.09290304</f>
        <v>0.50800000077216012</v>
      </c>
      <c r="I78" s="168"/>
      <c r="J78" s="26" t="s">
        <v>1247</v>
      </c>
      <c r="K78" s="295">
        <v>0.375</v>
      </c>
      <c r="L78" s="295">
        <v>0.6875</v>
      </c>
      <c r="M78" s="296">
        <v>5.3</v>
      </c>
      <c r="N78" s="340">
        <f>M78*3.2808399*0.4535924</f>
        <v>7.8872694345608281</v>
      </c>
      <c r="O78" s="359">
        <f>((Y78*2)+(Z78*2))*12/144</f>
        <v>0.75</v>
      </c>
      <c r="P78" s="281">
        <f>O78*3.2808399*0.09290304</f>
        <v>0.22860000034747202</v>
      </c>
      <c r="R78">
        <v>5</v>
      </c>
      <c r="S78">
        <v>5</v>
      </c>
      <c r="Y78">
        <v>2.5</v>
      </c>
      <c r="Z78">
        <v>2</v>
      </c>
      <c r="AA78" s="168"/>
      <c r="AB78" s="168"/>
      <c r="AC78" s="290"/>
      <c r="AD78" s="337"/>
      <c r="AE78" s="337"/>
      <c r="AF78" s="337"/>
      <c r="AG78" s="168"/>
      <c r="AH78" s="294"/>
      <c r="AI78" s="168"/>
      <c r="AJ78" s="168"/>
      <c r="AK78" s="290"/>
      <c r="AL78" s="337"/>
      <c r="AM78" s="337"/>
      <c r="AN78" s="337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</row>
    <row r="79" spans="2:51" x14ac:dyDescent="0.2">
      <c r="B79" s="26" t="s">
        <v>1235</v>
      </c>
      <c r="C79" s="14">
        <v>0.375</v>
      </c>
      <c r="D79" s="14">
        <v>0.875</v>
      </c>
      <c r="E79" s="124">
        <v>12.3</v>
      </c>
      <c r="F79" s="279">
        <f t="shared" si="1"/>
        <v>18.304417744358151</v>
      </c>
      <c r="G79" s="226">
        <f t="shared" si="15"/>
        <v>1.6666666666666667</v>
      </c>
      <c r="H79" s="281">
        <f t="shared" si="0"/>
        <v>0.50800000077216012</v>
      </c>
      <c r="I79" s="168"/>
      <c r="J79" s="26" t="s">
        <v>1247</v>
      </c>
      <c r="K79" s="14">
        <v>0.3125</v>
      </c>
      <c r="L79" s="14">
        <v>0.625</v>
      </c>
      <c r="M79" s="124">
        <v>4.5</v>
      </c>
      <c r="N79" s="321">
        <f>M79*3.2808399*0.4535924</f>
        <v>6.69673819915542</v>
      </c>
      <c r="O79" s="226">
        <f>((Y79*2)+(Z79*2))*12/144</f>
        <v>0.75</v>
      </c>
      <c r="P79" s="281">
        <f>O79*3.2808399*0.09290304</f>
        <v>0.22860000034747202</v>
      </c>
      <c r="R79">
        <v>5</v>
      </c>
      <c r="S79">
        <v>5</v>
      </c>
      <c r="Y79">
        <v>2.5</v>
      </c>
      <c r="Z79">
        <v>2</v>
      </c>
      <c r="AA79" s="168"/>
      <c r="AB79" s="168"/>
      <c r="AC79" s="290"/>
      <c r="AD79" s="337"/>
      <c r="AE79" s="337"/>
      <c r="AF79" s="337"/>
      <c r="AG79" s="168"/>
      <c r="AH79" s="294"/>
      <c r="AI79" s="168"/>
      <c r="AJ79" s="168"/>
      <c r="AK79" s="290"/>
      <c r="AL79" s="337"/>
      <c r="AM79" s="337"/>
      <c r="AN79" s="337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</row>
    <row r="80" spans="2:51" x14ac:dyDescent="0.2">
      <c r="B80" s="26" t="s">
        <v>1235</v>
      </c>
      <c r="C80" s="362">
        <v>0.3125</v>
      </c>
      <c r="D80" s="362">
        <v>0.8125</v>
      </c>
      <c r="E80" s="363">
        <v>10.3</v>
      </c>
      <c r="F80" s="321">
        <f t="shared" si="1"/>
        <v>15.32808965584463</v>
      </c>
      <c r="G80" s="364">
        <f t="shared" si="15"/>
        <v>1.6666666666666667</v>
      </c>
      <c r="H80" s="281">
        <f t="shared" si="0"/>
        <v>0.50800000077216012</v>
      </c>
      <c r="I80" s="168"/>
      <c r="J80" s="26" t="s">
        <v>1247</v>
      </c>
      <c r="K80" s="14">
        <v>0.25</v>
      </c>
      <c r="L80" s="14">
        <v>0.5625</v>
      </c>
      <c r="M80" s="124">
        <v>3.62</v>
      </c>
      <c r="N80" s="321">
        <f>M80*3.2808399*0.4535924</f>
        <v>5.3871538402094714</v>
      </c>
      <c r="O80" s="226">
        <f>((Y80*2)+(Z80*2))*12/144</f>
        <v>0.75</v>
      </c>
      <c r="P80" s="281">
        <f>O80*3.2808399*0.09290304</f>
        <v>0.22860000034747202</v>
      </c>
      <c r="R80">
        <v>5</v>
      </c>
      <c r="S80">
        <v>5</v>
      </c>
      <c r="Y80">
        <v>2.5</v>
      </c>
      <c r="Z80">
        <v>2</v>
      </c>
      <c r="AA80" s="168"/>
      <c r="AB80" s="168"/>
      <c r="AC80" s="290"/>
      <c r="AD80" s="337"/>
      <c r="AE80" s="337"/>
      <c r="AF80" s="337"/>
      <c r="AG80" s="168"/>
      <c r="AH80" s="294"/>
      <c r="AI80" s="168"/>
      <c r="AJ80" s="168"/>
      <c r="AK80" s="290"/>
      <c r="AL80" s="337"/>
      <c r="AM80" s="337"/>
      <c r="AN80" s="337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</row>
    <row r="81" spans="2:51" x14ac:dyDescent="0.2">
      <c r="B81" s="360"/>
      <c r="C81" s="322"/>
      <c r="D81" s="322"/>
      <c r="E81" s="323"/>
      <c r="F81" s="324"/>
      <c r="G81" s="343"/>
      <c r="H81" s="361"/>
      <c r="I81" s="168"/>
      <c r="J81" s="26" t="s">
        <v>1247</v>
      </c>
      <c r="K81" s="362">
        <v>0.1875</v>
      </c>
      <c r="L81" s="362">
        <v>0.5</v>
      </c>
      <c r="M81" s="363">
        <v>2.75</v>
      </c>
      <c r="N81" s="321">
        <f>M81*3.2808399*0.4535924</f>
        <v>4.0924511217060902</v>
      </c>
      <c r="O81" s="364">
        <f>((Y81*2)+(Z81*2))*12/144</f>
        <v>0.75</v>
      </c>
      <c r="P81" s="281">
        <f>O81*3.2808399*0.09290304</f>
        <v>0.22860000034747202</v>
      </c>
      <c r="Y81">
        <v>2.5</v>
      </c>
      <c r="Z81">
        <v>2</v>
      </c>
      <c r="AA81" s="168"/>
      <c r="AB81" s="168"/>
      <c r="AC81" s="290"/>
      <c r="AD81" s="337"/>
      <c r="AE81" s="166"/>
      <c r="AF81" s="294"/>
      <c r="AG81" s="168"/>
      <c r="AH81" s="294"/>
      <c r="AI81" s="168"/>
      <c r="AJ81" s="168"/>
      <c r="AK81" s="290"/>
      <c r="AL81" s="337"/>
      <c r="AM81" s="337"/>
      <c r="AN81" s="337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</row>
    <row r="82" spans="2:51" x14ac:dyDescent="0.2">
      <c r="B82" s="26" t="s">
        <v>1236</v>
      </c>
      <c r="C82" s="295">
        <v>0.75</v>
      </c>
      <c r="D82" s="295">
        <v>1.25</v>
      </c>
      <c r="E82" s="296">
        <v>19.8</v>
      </c>
      <c r="F82" s="281">
        <f t="shared" si="1"/>
        <v>29.465648076283852</v>
      </c>
      <c r="G82" s="359">
        <f t="shared" ref="G82:G88" si="16">((R82*2)+(S82*2))*12/144</f>
        <v>1.4166666666666667</v>
      </c>
      <c r="H82" s="281">
        <f t="shared" si="0"/>
        <v>0.43180000065633611</v>
      </c>
      <c r="I82" s="168"/>
      <c r="J82" s="360"/>
      <c r="K82" s="322"/>
      <c r="L82" s="322"/>
      <c r="M82" s="323"/>
      <c r="N82" s="323"/>
      <c r="O82" s="343"/>
      <c r="P82" s="361"/>
      <c r="R82">
        <v>5</v>
      </c>
      <c r="S82">
        <v>3.5</v>
      </c>
      <c r="AA82" s="168"/>
      <c r="AB82" s="168"/>
      <c r="AC82" s="290"/>
      <c r="AD82" s="337"/>
      <c r="AE82" s="337"/>
      <c r="AF82" s="337"/>
      <c r="AG82" s="168"/>
      <c r="AH82" s="294"/>
      <c r="AI82" s="168"/>
      <c r="AJ82" s="168"/>
      <c r="AK82" s="290"/>
      <c r="AL82" s="290"/>
      <c r="AM82" s="166"/>
      <c r="AN82" s="294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</row>
    <row r="83" spans="2:51" x14ac:dyDescent="0.2">
      <c r="B83" s="26" t="s">
        <v>1236</v>
      </c>
      <c r="C83" s="156">
        <v>0.625</v>
      </c>
      <c r="D83" s="156">
        <v>1.125</v>
      </c>
      <c r="E83" s="158">
        <v>16.8</v>
      </c>
      <c r="F83" s="278">
        <f t="shared" si="1"/>
        <v>25.00115594351357</v>
      </c>
      <c r="G83" s="278">
        <f t="shared" si="16"/>
        <v>1.4166666666666667</v>
      </c>
      <c r="H83" s="277">
        <f>G83*3.2808399*0.09290304</f>
        <v>0.43180000065633611</v>
      </c>
      <c r="I83" s="168"/>
      <c r="J83" s="26" t="s">
        <v>1248</v>
      </c>
      <c r="K83" s="295">
        <v>0.375</v>
      </c>
      <c r="L83" s="295">
        <v>0.625</v>
      </c>
      <c r="M83" s="296">
        <v>4.7</v>
      </c>
      <c r="N83" s="340">
        <f>M83*3.2808399*0.4535924</f>
        <v>6.9943710080067731</v>
      </c>
      <c r="O83" s="359">
        <f>((Y83*2)+(Z83*2))*12/144</f>
        <v>0.66666666666666663</v>
      </c>
      <c r="P83" s="281">
        <f>O83*3.2808399*0.09290304</f>
        <v>0.20320000030886398</v>
      </c>
      <c r="R83">
        <v>5</v>
      </c>
      <c r="S83">
        <v>3.5</v>
      </c>
      <c r="Y83">
        <v>2</v>
      </c>
      <c r="Z83">
        <v>2</v>
      </c>
      <c r="AA83" s="168"/>
      <c r="AB83" s="168"/>
      <c r="AC83" s="290"/>
      <c r="AD83" s="337"/>
      <c r="AE83" s="337"/>
      <c r="AF83" s="337"/>
      <c r="AG83" s="168"/>
      <c r="AH83" s="294"/>
      <c r="AI83" s="168"/>
      <c r="AJ83" s="168"/>
      <c r="AK83" s="290"/>
      <c r="AL83" s="337"/>
      <c r="AM83" s="337"/>
      <c r="AN83" s="337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</row>
    <row r="84" spans="2:51" x14ac:dyDescent="0.2">
      <c r="B84" s="26" t="s">
        <v>1236</v>
      </c>
      <c r="C84" s="14">
        <v>0.5</v>
      </c>
      <c r="D84" s="14">
        <v>1</v>
      </c>
      <c r="E84" s="124">
        <v>13.6</v>
      </c>
      <c r="F84" s="279">
        <f t="shared" si="1"/>
        <v>20.239031001891938</v>
      </c>
      <c r="G84" s="226">
        <f t="shared" si="16"/>
        <v>1.4166666666666667</v>
      </c>
      <c r="H84" s="281">
        <f t="shared" si="0"/>
        <v>0.43180000065633611</v>
      </c>
      <c r="I84" s="168"/>
      <c r="J84" s="26" t="s">
        <v>1248</v>
      </c>
      <c r="K84" s="14">
        <v>0.3125</v>
      </c>
      <c r="L84" s="14">
        <v>0.5625</v>
      </c>
      <c r="M84" s="124">
        <v>3.92</v>
      </c>
      <c r="N84" s="321">
        <f>M84*3.2808399*0.4535924</f>
        <v>5.8336030534864989</v>
      </c>
      <c r="O84" s="226">
        <f>((Y84*2)+(Z84*2))*12/144</f>
        <v>0.66666666666666663</v>
      </c>
      <c r="P84" s="281">
        <f>O84*3.2808399*0.09290304</f>
        <v>0.20320000030886398</v>
      </c>
      <c r="R84">
        <v>5</v>
      </c>
      <c r="S84">
        <v>3.5</v>
      </c>
      <c r="Y84">
        <v>2</v>
      </c>
      <c r="Z84">
        <v>2</v>
      </c>
      <c r="AA84" s="168"/>
      <c r="AB84" s="168"/>
      <c r="AC84" s="290"/>
      <c r="AD84" s="337"/>
      <c r="AE84" s="337"/>
      <c r="AF84" s="337"/>
      <c r="AG84" s="168"/>
      <c r="AH84" s="294"/>
      <c r="AI84" s="168"/>
      <c r="AJ84" s="168"/>
      <c r="AK84" s="290"/>
      <c r="AL84" s="337"/>
      <c r="AM84" s="337"/>
      <c r="AN84" s="337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</row>
    <row r="85" spans="2:51" x14ac:dyDescent="0.2">
      <c r="B85" s="26" t="s">
        <v>1236</v>
      </c>
      <c r="C85" s="156">
        <v>0.4375</v>
      </c>
      <c r="D85" s="156">
        <v>0.9375</v>
      </c>
      <c r="E85" s="158">
        <v>12</v>
      </c>
      <c r="F85" s="278">
        <f t="shared" si="1"/>
        <v>17.85796853108112</v>
      </c>
      <c r="G85" s="278">
        <f t="shared" si="16"/>
        <v>1.4166666666666667</v>
      </c>
      <c r="H85" s="277">
        <f>G85*3.2808399*0.09290304</f>
        <v>0.43180000065633611</v>
      </c>
      <c r="I85" s="168"/>
      <c r="J85" s="26" t="s">
        <v>1248</v>
      </c>
      <c r="K85" s="14">
        <v>0.25</v>
      </c>
      <c r="L85" s="14">
        <v>0.5</v>
      </c>
      <c r="M85" s="124">
        <v>3.19</v>
      </c>
      <c r="N85" s="321">
        <f>M85*3.2808399*0.4535924</f>
        <v>4.747243301179064</v>
      </c>
      <c r="O85" s="226">
        <f>((Y85*2)+(Z85*2))*12/144</f>
        <v>0.66666666666666663</v>
      </c>
      <c r="P85" s="281">
        <f>O85*3.2808399*0.09290304</f>
        <v>0.20320000030886398</v>
      </c>
      <c r="R85">
        <v>5</v>
      </c>
      <c r="S85">
        <v>3.5</v>
      </c>
      <c r="Y85">
        <v>2</v>
      </c>
      <c r="Z85">
        <v>2</v>
      </c>
      <c r="AA85" s="168"/>
      <c r="AB85" s="168"/>
      <c r="AC85" s="290"/>
      <c r="AD85" s="337"/>
      <c r="AE85" s="337"/>
      <c r="AF85" s="337"/>
      <c r="AG85" s="168"/>
      <c r="AH85" s="294"/>
      <c r="AI85" s="168"/>
      <c r="AJ85" s="168"/>
      <c r="AK85" s="290"/>
      <c r="AL85" s="337"/>
      <c r="AM85" s="337"/>
      <c r="AN85" s="337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</row>
    <row r="86" spans="2:51" x14ac:dyDescent="0.2">
      <c r="B86" s="26" t="s">
        <v>1236</v>
      </c>
      <c r="C86" s="14">
        <v>0.375</v>
      </c>
      <c r="D86" s="14">
        <v>0.875</v>
      </c>
      <c r="E86" s="124">
        <v>10.4</v>
      </c>
      <c r="F86" s="279">
        <f t="shared" si="1"/>
        <v>15.476906060270304</v>
      </c>
      <c r="G86" s="226">
        <f t="shared" si="16"/>
        <v>1.4166666666666667</v>
      </c>
      <c r="H86" s="281">
        <f>G86*3.2808399*0.09290304</f>
        <v>0.43180000065633611</v>
      </c>
      <c r="I86" s="168"/>
      <c r="J86" s="26" t="s">
        <v>1248</v>
      </c>
      <c r="K86" s="14">
        <v>0.1875</v>
      </c>
      <c r="L86" s="14">
        <v>0.4375</v>
      </c>
      <c r="M86" s="124">
        <v>2.44</v>
      </c>
      <c r="N86" s="321">
        <f>M86*3.2808399*0.4535924</f>
        <v>3.6311202679864945</v>
      </c>
      <c r="O86" s="226">
        <f>((Y86*2)+(Z86*2))*12/144</f>
        <v>0.66666666666666663</v>
      </c>
      <c r="P86" s="281">
        <f>O86*3.2808399*0.09290304</f>
        <v>0.20320000030886398</v>
      </c>
      <c r="R86">
        <v>5</v>
      </c>
      <c r="S86">
        <v>3.5</v>
      </c>
      <c r="Y86">
        <v>2</v>
      </c>
      <c r="Z86">
        <v>2</v>
      </c>
      <c r="AA86" s="168"/>
      <c r="AB86" s="168"/>
      <c r="AC86" s="290"/>
      <c r="AD86" s="337"/>
      <c r="AE86" s="337"/>
      <c r="AF86" s="337"/>
      <c r="AG86" s="168"/>
      <c r="AH86" s="294"/>
      <c r="AI86" s="168"/>
      <c r="AJ86" s="168"/>
      <c r="AK86" s="290"/>
      <c r="AL86" s="337"/>
      <c r="AM86" s="337"/>
      <c r="AN86" s="337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</row>
    <row r="87" spans="2:51" x14ac:dyDescent="0.2">
      <c r="B87" s="26" t="s">
        <v>1236</v>
      </c>
      <c r="C87" s="14">
        <v>0.3125</v>
      </c>
      <c r="D87" s="14">
        <v>0.8125</v>
      </c>
      <c r="E87" s="124">
        <v>8.6999999999999993</v>
      </c>
      <c r="F87" s="279">
        <f t="shared" si="1"/>
        <v>12.947027185033811</v>
      </c>
      <c r="G87" s="226">
        <f t="shared" si="16"/>
        <v>1.4166666666666667</v>
      </c>
      <c r="H87" s="281">
        <f>G87*3.2808399*0.09290304</f>
        <v>0.43180000065633611</v>
      </c>
      <c r="I87" s="168"/>
      <c r="J87" s="26" t="s">
        <v>1248</v>
      </c>
      <c r="K87" s="362">
        <v>0.125</v>
      </c>
      <c r="L87" s="362">
        <v>0.375</v>
      </c>
      <c r="M87" s="363">
        <v>1.65</v>
      </c>
      <c r="N87" s="321">
        <f>M87*3.2808399*0.4535924</f>
        <v>2.4554706730236537</v>
      </c>
      <c r="O87" s="364">
        <f>((Y87*2)+(Z87*2))*12/144</f>
        <v>0.66666666666666663</v>
      </c>
      <c r="P87" s="281">
        <f>O87*3.2808399*0.09290304</f>
        <v>0.20320000030886398</v>
      </c>
      <c r="R87">
        <v>5</v>
      </c>
      <c r="S87">
        <v>3.5</v>
      </c>
      <c r="Y87">
        <v>2</v>
      </c>
      <c r="Z87">
        <v>2</v>
      </c>
      <c r="AA87" s="168"/>
      <c r="AB87" s="168"/>
      <c r="AC87" s="290"/>
      <c r="AD87" s="337"/>
      <c r="AE87" s="337"/>
      <c r="AF87" s="337"/>
      <c r="AG87" s="168"/>
      <c r="AH87" s="294"/>
      <c r="AI87" s="168"/>
      <c r="AJ87" s="168"/>
      <c r="AK87" s="290"/>
      <c r="AL87" s="337"/>
      <c r="AM87" s="337"/>
      <c r="AN87" s="337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</row>
    <row r="88" spans="2:51" x14ac:dyDescent="0.2">
      <c r="B88" s="26" t="s">
        <v>1236</v>
      </c>
      <c r="C88" s="357">
        <v>0.25</v>
      </c>
      <c r="D88" s="357">
        <v>0.75</v>
      </c>
      <c r="E88" s="358">
        <v>7</v>
      </c>
      <c r="F88" s="332">
        <f t="shared" si="1"/>
        <v>10.417148309797321</v>
      </c>
      <c r="G88" s="332">
        <f t="shared" si="16"/>
        <v>1.4166666666666667</v>
      </c>
      <c r="H88" s="277">
        <f>G88*3.2808399*0.09290304</f>
        <v>0.43180000065633611</v>
      </c>
      <c r="I88" s="168"/>
      <c r="J88" s="360"/>
      <c r="K88" s="322"/>
      <c r="L88" s="322"/>
      <c r="M88" s="323"/>
      <c r="N88" s="323"/>
      <c r="O88" s="343"/>
      <c r="P88" s="361"/>
      <c r="R88">
        <v>5</v>
      </c>
      <c r="S88">
        <v>3.5</v>
      </c>
      <c r="AA88" s="168"/>
      <c r="AB88" s="168"/>
      <c r="AC88" s="290"/>
      <c r="AD88" s="337"/>
      <c r="AE88" s="337"/>
      <c r="AF88" s="337"/>
      <c r="AG88" s="168"/>
      <c r="AH88" s="294"/>
      <c r="AI88" s="168"/>
      <c r="AJ88" s="168"/>
      <c r="AK88" s="290"/>
      <c r="AL88" s="290"/>
      <c r="AM88" s="166"/>
      <c r="AN88" s="294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</row>
    <row r="89" spans="2:51" x14ac:dyDescent="0.2">
      <c r="B89" s="360"/>
      <c r="C89" s="322"/>
      <c r="D89" s="322"/>
      <c r="E89" s="323"/>
      <c r="F89" s="324"/>
      <c r="G89" s="343"/>
      <c r="H89" s="361"/>
      <c r="I89" s="168"/>
      <c r="J89" s="26" t="s">
        <v>1667</v>
      </c>
      <c r="K89" s="295">
        <v>0.25</v>
      </c>
      <c r="L89" s="295">
        <v>0.5</v>
      </c>
      <c r="M89" s="296">
        <v>2.77</v>
      </c>
      <c r="N89" s="340">
        <f>M89*3.2808399*0.4535924</f>
        <v>4.1222144025912257</v>
      </c>
      <c r="O89" s="359">
        <f>((Y89*2)+(Z89*2))*12/144</f>
        <v>0.58333333333333337</v>
      </c>
      <c r="P89" s="281">
        <f>O89*3.2808399*0.09290304</f>
        <v>0.17780000027025603</v>
      </c>
      <c r="Y89">
        <v>1.75</v>
      </c>
      <c r="Z89">
        <v>1.75</v>
      </c>
      <c r="AA89" s="168"/>
      <c r="AB89" s="168"/>
      <c r="AC89" s="290"/>
      <c r="AD89" s="337"/>
      <c r="AE89" s="166"/>
      <c r="AF89" s="294"/>
      <c r="AG89" s="168"/>
      <c r="AH89" s="294"/>
      <c r="AI89" s="168"/>
      <c r="AJ89" s="168"/>
      <c r="AK89" s="290"/>
      <c r="AL89" s="337"/>
      <c r="AM89" s="337"/>
      <c r="AN89" s="337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</row>
    <row r="90" spans="2:51" x14ac:dyDescent="0.2">
      <c r="B90" s="26" t="s">
        <v>1697</v>
      </c>
      <c r="C90" s="160">
        <v>0.625</v>
      </c>
      <c r="D90" s="160">
        <v>1</v>
      </c>
      <c r="E90" s="123">
        <v>15.7</v>
      </c>
      <c r="F90" s="281">
        <f t="shared" ref="F90:F103" si="17">E90*3.2808399*0.4535924</f>
        <v>23.364175494831134</v>
      </c>
      <c r="G90" s="359">
        <f t="shared" ref="G90:G95" si="18">((R90*2)+(S90*2))*12/144</f>
        <v>1.3333333333333333</v>
      </c>
      <c r="H90" s="281">
        <f t="shared" ref="H90:H99" si="19">G90*3.2808399*0.09290304</f>
        <v>0.40640000061772796</v>
      </c>
      <c r="I90" s="168"/>
      <c r="J90" s="26" t="s">
        <v>1667</v>
      </c>
      <c r="K90" s="362">
        <v>0.1875</v>
      </c>
      <c r="L90" s="362">
        <v>0.4375</v>
      </c>
      <c r="M90" s="363">
        <v>2.12</v>
      </c>
      <c r="N90" s="321">
        <f>M90*3.2808399*0.4535924</f>
        <v>3.1549077738243314</v>
      </c>
      <c r="O90" s="364">
        <f>((Y90*2)+(Z90*2))*12/144</f>
        <v>0.58333333333333337</v>
      </c>
      <c r="P90" s="281">
        <f>O90*3.2808399*0.09290304</f>
        <v>0.17780000027025603</v>
      </c>
      <c r="R90">
        <v>5</v>
      </c>
      <c r="S90">
        <v>3</v>
      </c>
      <c r="Y90">
        <v>1.75</v>
      </c>
      <c r="Z90">
        <v>1.75</v>
      </c>
      <c r="AA90" s="168"/>
      <c r="AB90" s="168"/>
      <c r="AC90" s="290"/>
      <c r="AD90" s="337"/>
      <c r="AE90" s="337"/>
      <c r="AF90" s="337"/>
      <c r="AG90" s="168"/>
      <c r="AH90" s="294"/>
      <c r="AI90" s="168"/>
      <c r="AJ90" s="168"/>
      <c r="AK90" s="290"/>
      <c r="AL90" s="337"/>
      <c r="AM90" s="337"/>
      <c r="AN90" s="337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</row>
    <row r="91" spans="2:51" x14ac:dyDescent="0.2">
      <c r="B91" s="26" t="s">
        <v>1697</v>
      </c>
      <c r="C91" s="20">
        <v>0.5</v>
      </c>
      <c r="D91" s="20">
        <v>1</v>
      </c>
      <c r="E91" s="136">
        <v>12.8</v>
      </c>
      <c r="F91" s="279">
        <f t="shared" si="17"/>
        <v>19.048499766486533</v>
      </c>
      <c r="G91" s="226">
        <f t="shared" si="18"/>
        <v>1.3333333333333333</v>
      </c>
      <c r="H91" s="281">
        <f t="shared" si="19"/>
        <v>0.40640000061772796</v>
      </c>
      <c r="I91" s="168"/>
      <c r="J91" s="360"/>
      <c r="K91" s="322"/>
      <c r="L91" s="322"/>
      <c r="M91" s="323"/>
      <c r="N91" s="323"/>
      <c r="O91" s="343"/>
      <c r="P91" s="361"/>
      <c r="R91">
        <v>5</v>
      </c>
      <c r="S91">
        <v>3</v>
      </c>
      <c r="AA91" s="168"/>
      <c r="AB91" s="168"/>
      <c r="AC91" s="290"/>
      <c r="AD91" s="337"/>
      <c r="AE91" s="337"/>
      <c r="AF91" s="337"/>
      <c r="AG91" s="168"/>
      <c r="AH91" s="294"/>
      <c r="AI91" s="168"/>
      <c r="AJ91" s="168"/>
      <c r="AK91" s="290"/>
      <c r="AL91" s="290"/>
      <c r="AM91" s="166"/>
      <c r="AN91" s="294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</row>
    <row r="92" spans="2:51" x14ac:dyDescent="0.2">
      <c r="B92" s="26" t="s">
        <v>1697</v>
      </c>
      <c r="C92" s="20">
        <v>0.4375</v>
      </c>
      <c r="D92" s="20">
        <v>0.9375</v>
      </c>
      <c r="E92" s="136">
        <v>11.3</v>
      </c>
      <c r="F92" s="279">
        <f t="shared" si="17"/>
        <v>16.816253700101388</v>
      </c>
      <c r="G92" s="226">
        <f t="shared" si="18"/>
        <v>1.3333333333333333</v>
      </c>
      <c r="H92" s="281">
        <f t="shared" si="19"/>
        <v>0.40640000061772796</v>
      </c>
      <c r="I92" s="168"/>
      <c r="J92" s="26" t="s">
        <v>1668</v>
      </c>
      <c r="K92" s="295">
        <v>0.25</v>
      </c>
      <c r="L92" s="295">
        <v>0.4375</v>
      </c>
      <c r="M92" s="296">
        <v>2.34</v>
      </c>
      <c r="N92" s="340">
        <f>M92*3.2808399*0.4535924</f>
        <v>3.4823038635608183</v>
      </c>
      <c r="O92" s="359">
        <f>((Y92*2)+(Z92*2))*12/144</f>
        <v>0.5</v>
      </c>
      <c r="P92" s="281">
        <f>O92*3.2808399*0.09290304</f>
        <v>0.15240000023164801</v>
      </c>
      <c r="R92">
        <v>5</v>
      </c>
      <c r="S92">
        <v>3</v>
      </c>
      <c r="Y92">
        <v>1.5</v>
      </c>
      <c r="Z92">
        <v>1.5</v>
      </c>
      <c r="AA92" s="168"/>
      <c r="AB92" s="168"/>
      <c r="AC92" s="290"/>
      <c r="AD92" s="337"/>
      <c r="AE92" s="337"/>
      <c r="AF92" s="337"/>
      <c r="AG92" s="168"/>
      <c r="AH92" s="294"/>
      <c r="AI92" s="168"/>
      <c r="AJ92" s="168"/>
      <c r="AK92" s="290"/>
      <c r="AL92" s="337"/>
      <c r="AM92" s="337"/>
      <c r="AN92" s="337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</row>
    <row r="93" spans="2:51" x14ac:dyDescent="0.2">
      <c r="B93" s="26" t="s">
        <v>1697</v>
      </c>
      <c r="C93" s="20">
        <v>0.375</v>
      </c>
      <c r="D93" s="20">
        <v>0.875</v>
      </c>
      <c r="E93" s="136">
        <v>9.8000000000000007</v>
      </c>
      <c r="F93" s="279">
        <f t="shared" si="17"/>
        <v>14.584007633716249</v>
      </c>
      <c r="G93" s="226">
        <f t="shared" si="18"/>
        <v>1.3333333333333333</v>
      </c>
      <c r="H93" s="281">
        <f t="shared" si="19"/>
        <v>0.40640000061772796</v>
      </c>
      <c r="I93" s="168"/>
      <c r="J93" s="26" t="s">
        <v>1668</v>
      </c>
      <c r="K93" s="362">
        <v>0.1875</v>
      </c>
      <c r="L93" s="362">
        <v>0.375</v>
      </c>
      <c r="M93" s="363">
        <v>1.8</v>
      </c>
      <c r="N93" s="321">
        <f>M93*3.2808399*0.4535924</f>
        <v>2.6786952796621679</v>
      </c>
      <c r="O93" s="364">
        <f>((Y93*2)+(Z93*2))*12/144</f>
        <v>0.5</v>
      </c>
      <c r="P93" s="281">
        <f>O93*3.2808399*0.09290304</f>
        <v>0.15240000023164801</v>
      </c>
      <c r="R93">
        <v>5</v>
      </c>
      <c r="S93">
        <v>3</v>
      </c>
      <c r="Y93">
        <v>1.5</v>
      </c>
      <c r="Z93">
        <v>1.5</v>
      </c>
      <c r="AA93" s="168"/>
      <c r="AB93" s="168"/>
      <c r="AC93" s="290"/>
      <c r="AD93" s="337"/>
      <c r="AE93" s="337"/>
      <c r="AF93" s="337"/>
      <c r="AG93" s="168"/>
      <c r="AH93" s="294"/>
      <c r="AI93" s="168"/>
      <c r="AJ93" s="168"/>
      <c r="AK93" s="290"/>
      <c r="AL93" s="337"/>
      <c r="AM93" s="337"/>
      <c r="AN93" s="337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</row>
    <row r="94" spans="2:51" x14ac:dyDescent="0.2">
      <c r="B94" s="26" t="s">
        <v>1697</v>
      </c>
      <c r="C94" s="20">
        <v>0.3125</v>
      </c>
      <c r="D94" s="20">
        <v>0.8125</v>
      </c>
      <c r="E94" s="136">
        <v>8.1999999999999993</v>
      </c>
      <c r="F94" s="279">
        <f t="shared" si="17"/>
        <v>12.202945162905433</v>
      </c>
      <c r="G94" s="226">
        <f t="shared" si="18"/>
        <v>1.3333333333333333</v>
      </c>
      <c r="H94" s="281">
        <f t="shared" si="19"/>
        <v>0.40640000061772796</v>
      </c>
      <c r="I94" s="168"/>
      <c r="J94" s="360"/>
      <c r="K94" s="322"/>
      <c r="L94" s="322"/>
      <c r="M94" s="323"/>
      <c r="N94" s="323"/>
      <c r="O94" s="343"/>
      <c r="P94" s="361"/>
      <c r="R94">
        <v>5</v>
      </c>
      <c r="S94">
        <v>3</v>
      </c>
      <c r="AA94" s="168"/>
      <c r="AB94" s="168"/>
      <c r="AC94" s="290"/>
      <c r="AD94" s="337"/>
      <c r="AE94" s="337"/>
      <c r="AF94" s="337"/>
      <c r="AG94" s="168"/>
      <c r="AH94" s="294"/>
      <c r="AI94" s="168"/>
      <c r="AJ94" s="168"/>
      <c r="AK94" s="290"/>
      <c r="AL94" s="290"/>
      <c r="AM94" s="166"/>
      <c r="AN94" s="294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</row>
    <row r="95" spans="2:51" x14ac:dyDescent="0.2">
      <c r="B95" s="26" t="s">
        <v>1697</v>
      </c>
      <c r="C95" s="22">
        <v>0.25</v>
      </c>
      <c r="D95" s="22">
        <v>0.75</v>
      </c>
      <c r="E95" s="325">
        <v>6.6</v>
      </c>
      <c r="F95" s="321">
        <f t="shared" si="17"/>
        <v>9.821882692094615</v>
      </c>
      <c r="G95" s="364">
        <f t="shared" si="18"/>
        <v>1.3333333333333333</v>
      </c>
      <c r="H95" s="281">
        <f t="shared" si="19"/>
        <v>0.40640000061772796</v>
      </c>
      <c r="I95" s="168"/>
      <c r="J95" s="26" t="s">
        <v>1669</v>
      </c>
      <c r="K95" s="295">
        <v>0.25</v>
      </c>
      <c r="L95" s="295">
        <v>0.4375</v>
      </c>
      <c r="M95" s="296">
        <v>1.92</v>
      </c>
      <c r="N95" s="340">
        <f>M95*3.2808399*0.4535924</f>
        <v>2.8572749649729796</v>
      </c>
      <c r="O95" s="359">
        <f>((Y95*2)+(Z95*2))*12/144</f>
        <v>0.41666666666666669</v>
      </c>
      <c r="P95" s="281">
        <f>O95*3.2808399*0.09290304</f>
        <v>0.12700000019304003</v>
      </c>
      <c r="R95">
        <v>5</v>
      </c>
      <c r="S95">
        <v>3</v>
      </c>
      <c r="Y95">
        <v>1.25</v>
      </c>
      <c r="Z95">
        <v>1.25</v>
      </c>
      <c r="AA95" s="168"/>
      <c r="AB95" s="168"/>
      <c r="AC95" s="290"/>
      <c r="AD95" s="337"/>
      <c r="AE95" s="337"/>
      <c r="AF95" s="337"/>
      <c r="AG95" s="168"/>
      <c r="AH95" s="294"/>
      <c r="AI95" s="168"/>
      <c r="AJ95" s="168"/>
      <c r="AK95" s="290"/>
      <c r="AL95" s="337"/>
      <c r="AM95" s="337"/>
      <c r="AN95" s="337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</row>
    <row r="96" spans="2:51" x14ac:dyDescent="0.2">
      <c r="B96" s="360"/>
      <c r="C96" s="322" t="s">
        <v>899</v>
      </c>
      <c r="D96" s="322"/>
      <c r="E96" s="323"/>
      <c r="F96" s="324"/>
      <c r="G96" s="324"/>
      <c r="H96" s="341"/>
      <c r="I96" s="168"/>
      <c r="J96" s="26" t="s">
        <v>1669</v>
      </c>
      <c r="K96" s="362">
        <v>0.1875</v>
      </c>
      <c r="L96" s="362">
        <v>0.375</v>
      </c>
      <c r="M96" s="363">
        <v>1.48</v>
      </c>
      <c r="N96" s="321">
        <f>M96*3.2808399*0.4535924</f>
        <v>2.2024827855000049</v>
      </c>
      <c r="O96" s="364">
        <f>((Y96*2)+(Z96*2))*12/144</f>
        <v>0.41666666666666669</v>
      </c>
      <c r="P96" s="281">
        <f>O96*3.2808399*0.09290304</f>
        <v>0.12700000019304003</v>
      </c>
      <c r="Y96">
        <v>1.25</v>
      </c>
      <c r="Z96">
        <v>1.25</v>
      </c>
      <c r="AA96" s="168"/>
      <c r="AB96" s="168"/>
      <c r="AC96" s="290"/>
      <c r="AD96" s="337"/>
      <c r="AE96" s="337"/>
      <c r="AF96" s="337"/>
      <c r="AG96" s="168"/>
      <c r="AH96" s="294"/>
      <c r="AI96" s="168"/>
      <c r="AJ96" s="168"/>
      <c r="AK96" s="290"/>
      <c r="AL96" s="337"/>
      <c r="AM96" s="337"/>
      <c r="AN96" s="337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</row>
    <row r="97" spans="2:51" x14ac:dyDescent="0.2">
      <c r="B97" s="26" t="s">
        <v>1237</v>
      </c>
      <c r="C97" s="295">
        <v>0.75</v>
      </c>
      <c r="D97" s="295">
        <v>1.125</v>
      </c>
      <c r="E97" s="296">
        <v>18.5</v>
      </c>
      <c r="F97" s="281">
        <f t="shared" si="17"/>
        <v>27.531034818750062</v>
      </c>
      <c r="G97" s="359">
        <f t="shared" ref="G97:G103" si="20">((R97*2)+(S97*2))*12/144</f>
        <v>1.3333333333333333</v>
      </c>
      <c r="H97" s="281">
        <f t="shared" si="19"/>
        <v>0.40640000061772796</v>
      </c>
      <c r="I97" s="168"/>
      <c r="J97" s="360"/>
      <c r="K97" s="322"/>
      <c r="L97" s="322"/>
      <c r="M97" s="323"/>
      <c r="N97" s="323"/>
      <c r="O97" s="343"/>
      <c r="P97" s="361"/>
      <c r="R97">
        <v>4</v>
      </c>
      <c r="S97">
        <v>4</v>
      </c>
      <c r="AA97" s="168"/>
      <c r="AB97" s="168"/>
      <c r="AC97" s="290"/>
      <c r="AD97" s="337"/>
      <c r="AE97" s="337"/>
      <c r="AF97" s="337"/>
      <c r="AG97" s="168"/>
      <c r="AH97" s="294"/>
      <c r="AI97" s="168"/>
      <c r="AJ97" s="168"/>
      <c r="AK97" s="290"/>
      <c r="AL97" s="290"/>
      <c r="AM97" s="166"/>
      <c r="AN97" s="294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</row>
    <row r="98" spans="2:51" x14ac:dyDescent="0.2">
      <c r="B98" s="26" t="s">
        <v>1237</v>
      </c>
      <c r="C98" s="14">
        <v>0.625</v>
      </c>
      <c r="D98" s="14">
        <v>1</v>
      </c>
      <c r="E98" s="124">
        <v>15.7</v>
      </c>
      <c r="F98" s="279">
        <f t="shared" si="17"/>
        <v>23.364175494831134</v>
      </c>
      <c r="G98" s="226">
        <f t="shared" si="20"/>
        <v>1.3333333333333333</v>
      </c>
      <c r="H98" s="281">
        <f t="shared" si="19"/>
        <v>0.40640000061772796</v>
      </c>
      <c r="I98" s="168"/>
      <c r="J98" s="26" t="s">
        <v>1671</v>
      </c>
      <c r="K98" s="8">
        <v>0.125</v>
      </c>
      <c r="L98" s="8">
        <v>0.21875</v>
      </c>
      <c r="M98" s="367">
        <v>0.9</v>
      </c>
      <c r="N98" s="340">
        <f>M98*3.2808399*0.4535924</f>
        <v>1.339347639831084</v>
      </c>
      <c r="O98" s="368">
        <f>((Y98*2)+(Z98*2))*12/144</f>
        <v>0.375</v>
      </c>
      <c r="P98" s="281">
        <f>O98*3.2808399*0.09290304</f>
        <v>0.11430000017373601</v>
      </c>
      <c r="R98">
        <v>4</v>
      </c>
      <c r="S98">
        <v>4</v>
      </c>
      <c r="Y98">
        <v>1.125</v>
      </c>
      <c r="Z98">
        <v>1.125</v>
      </c>
      <c r="AA98" s="168"/>
      <c r="AB98" s="168"/>
      <c r="AC98" s="290"/>
      <c r="AD98" s="337"/>
      <c r="AE98" s="337"/>
      <c r="AF98" s="337"/>
      <c r="AG98" s="168"/>
      <c r="AH98" s="294"/>
      <c r="AI98" s="168"/>
      <c r="AJ98" s="168"/>
      <c r="AK98" s="290"/>
      <c r="AL98" s="337"/>
      <c r="AM98" s="337"/>
      <c r="AN98" s="337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</row>
    <row r="99" spans="2:51" x14ac:dyDescent="0.2">
      <c r="B99" s="26" t="s">
        <v>1237</v>
      </c>
      <c r="C99" s="14">
        <v>0.5</v>
      </c>
      <c r="D99" s="14">
        <v>0.875</v>
      </c>
      <c r="E99" s="124">
        <v>12.8</v>
      </c>
      <c r="F99" s="279">
        <f t="shared" si="17"/>
        <v>19.048499766486533</v>
      </c>
      <c r="G99" s="226">
        <f t="shared" si="20"/>
        <v>1.3333333333333333</v>
      </c>
      <c r="H99" s="281">
        <f t="shared" si="19"/>
        <v>0.40640000061772796</v>
      </c>
      <c r="I99" s="168"/>
      <c r="J99" s="360"/>
      <c r="K99" s="322"/>
      <c r="L99" s="322"/>
      <c r="M99" s="323"/>
      <c r="N99" s="323"/>
      <c r="O99" s="343"/>
      <c r="P99" s="361"/>
      <c r="R99">
        <v>4</v>
      </c>
      <c r="S99">
        <v>4</v>
      </c>
      <c r="AA99" s="168"/>
      <c r="AB99" s="168"/>
      <c r="AC99" s="290"/>
      <c r="AD99" s="337"/>
      <c r="AE99" s="337"/>
      <c r="AF99" s="337"/>
      <c r="AG99" s="168"/>
      <c r="AH99" s="294"/>
      <c r="AI99" s="168"/>
      <c r="AJ99" s="168"/>
      <c r="AK99" s="290"/>
      <c r="AL99" s="290"/>
      <c r="AM99" s="166"/>
      <c r="AN99" s="294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</row>
    <row r="100" spans="2:51" x14ac:dyDescent="0.2">
      <c r="B100" s="26" t="s">
        <v>1237</v>
      </c>
      <c r="C100" s="156">
        <v>0.4375</v>
      </c>
      <c r="D100" s="156">
        <v>0.8125</v>
      </c>
      <c r="E100" s="158">
        <v>11.3</v>
      </c>
      <c r="F100" s="278">
        <f t="shared" si="17"/>
        <v>16.816253700101388</v>
      </c>
      <c r="G100" s="278">
        <f t="shared" si="20"/>
        <v>1.3333333333333333</v>
      </c>
      <c r="H100" s="277">
        <f>G100*3.2808399*0.09290304</f>
        <v>0.40640000061772796</v>
      </c>
      <c r="I100" s="168"/>
      <c r="J100" s="26" t="s">
        <v>1670</v>
      </c>
      <c r="K100" s="8">
        <v>0.125</v>
      </c>
      <c r="L100" s="8">
        <v>0.25</v>
      </c>
      <c r="M100" s="367">
        <v>0.8</v>
      </c>
      <c r="N100" s="340">
        <f>M100*3.2808399*0.4535924</f>
        <v>1.1905312354054083</v>
      </c>
      <c r="O100" s="368">
        <f>((Y100*2)+(Z100*2))*12/144</f>
        <v>0.33333333333333331</v>
      </c>
      <c r="P100" s="281">
        <f>O100*3.2808399*0.09290304</f>
        <v>0.10160000015443199</v>
      </c>
      <c r="R100">
        <v>4</v>
      </c>
      <c r="S100">
        <v>4</v>
      </c>
      <c r="Y100">
        <v>1</v>
      </c>
      <c r="Z100">
        <v>1</v>
      </c>
      <c r="AA100" s="168"/>
      <c r="AB100" s="168"/>
      <c r="AC100" s="290"/>
      <c r="AD100" s="337"/>
      <c r="AE100" s="337"/>
      <c r="AF100" s="337"/>
      <c r="AG100" s="168"/>
      <c r="AH100" s="294"/>
      <c r="AI100" s="168"/>
      <c r="AJ100" s="168"/>
      <c r="AK100" s="290"/>
      <c r="AL100" s="337"/>
      <c r="AM100" s="337"/>
      <c r="AN100" s="337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</row>
    <row r="101" spans="2:51" x14ac:dyDescent="0.2">
      <c r="B101" s="26" t="s">
        <v>1237</v>
      </c>
      <c r="C101" s="14">
        <v>0.375</v>
      </c>
      <c r="D101" s="14">
        <v>0.75</v>
      </c>
      <c r="E101" s="124">
        <v>9.8000000000000007</v>
      </c>
      <c r="F101" s="279">
        <f t="shared" si="17"/>
        <v>14.584007633716249</v>
      </c>
      <c r="G101" s="226">
        <f t="shared" si="20"/>
        <v>1.3333333333333333</v>
      </c>
      <c r="H101" s="281">
        <f>G101*3.2808399*0.09290304</f>
        <v>0.40640000061772796</v>
      </c>
      <c r="I101" s="168"/>
      <c r="J101" s="360"/>
      <c r="K101" s="322"/>
      <c r="L101" s="322"/>
      <c r="M101" s="323"/>
      <c r="N101" s="324"/>
      <c r="O101" s="324"/>
      <c r="P101" s="341"/>
      <c r="R101">
        <v>4</v>
      </c>
      <c r="S101">
        <v>4</v>
      </c>
      <c r="Y101">
        <v>1</v>
      </c>
      <c r="Z101">
        <v>1</v>
      </c>
      <c r="AA101" s="168"/>
      <c r="AB101" s="168"/>
      <c r="AC101" s="290"/>
      <c r="AD101" s="337"/>
      <c r="AE101" s="337"/>
      <c r="AF101" s="337"/>
      <c r="AG101" s="168"/>
      <c r="AH101" s="294"/>
      <c r="AI101" s="168"/>
      <c r="AJ101" s="168"/>
      <c r="AK101" s="290"/>
      <c r="AL101" s="337"/>
      <c r="AM101" s="337"/>
      <c r="AN101" s="337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</row>
    <row r="102" spans="2:51" x14ac:dyDescent="0.2">
      <c r="B102" s="26" t="s">
        <v>1237</v>
      </c>
      <c r="C102" s="14">
        <v>0.3125</v>
      </c>
      <c r="D102" s="14">
        <v>0.6875</v>
      </c>
      <c r="E102" s="124">
        <v>8.1999999999999993</v>
      </c>
      <c r="F102" s="279">
        <f t="shared" si="17"/>
        <v>12.202945162905433</v>
      </c>
      <c r="G102" s="226">
        <f t="shared" si="20"/>
        <v>1.3333333333333333</v>
      </c>
      <c r="H102" s="281">
        <f>G102*3.2808399*0.09290304</f>
        <v>0.40640000061772796</v>
      </c>
      <c r="R102">
        <v>4</v>
      </c>
      <c r="S102">
        <v>4</v>
      </c>
      <c r="AA102" s="168"/>
      <c r="AB102" s="168"/>
      <c r="AC102" s="290"/>
      <c r="AD102" s="337"/>
      <c r="AE102" s="337"/>
      <c r="AF102" s="337"/>
      <c r="AG102" s="166"/>
      <c r="AH102" s="166"/>
      <c r="AI102" s="166"/>
      <c r="AJ102" s="166"/>
      <c r="AK102" s="166"/>
      <c r="AL102" s="166"/>
      <c r="AM102" s="166"/>
      <c r="AN102" s="166"/>
      <c r="AO102" s="166"/>
      <c r="AP102" s="166"/>
      <c r="AQ102" s="166"/>
      <c r="AR102" s="166"/>
      <c r="AS102" s="166"/>
      <c r="AT102" s="166"/>
      <c r="AU102" s="166"/>
      <c r="AV102" s="166"/>
      <c r="AW102" s="166"/>
      <c r="AX102" s="166"/>
      <c r="AY102" s="166"/>
    </row>
    <row r="103" spans="2:51" x14ac:dyDescent="0.2">
      <c r="B103" s="26" t="s">
        <v>1237</v>
      </c>
      <c r="C103" s="14">
        <v>0.25</v>
      </c>
      <c r="D103" s="14">
        <v>0.625</v>
      </c>
      <c r="E103" s="124">
        <v>6.6</v>
      </c>
      <c r="F103" s="279">
        <f t="shared" si="17"/>
        <v>9.821882692094615</v>
      </c>
      <c r="G103" s="226">
        <f t="shared" si="20"/>
        <v>1.3333333333333333</v>
      </c>
      <c r="H103" s="281">
        <f>G103*3.2808399*0.09290304</f>
        <v>0.40640000061772796</v>
      </c>
      <c r="J103" s="291"/>
      <c r="K103" s="292"/>
      <c r="L103" s="293"/>
      <c r="M103" s="293"/>
      <c r="N103" s="293"/>
      <c r="R103">
        <v>4</v>
      </c>
      <c r="S103">
        <v>4</v>
      </c>
      <c r="AA103" s="168"/>
      <c r="AB103" s="168"/>
      <c r="AC103" s="290"/>
      <c r="AD103" s="337"/>
      <c r="AE103" s="337"/>
      <c r="AF103" s="337"/>
      <c r="AG103" s="166"/>
      <c r="AH103" s="291"/>
      <c r="AI103" s="292"/>
      <c r="AJ103" s="293"/>
      <c r="AK103" s="293"/>
      <c r="AL103" s="293"/>
      <c r="AM103" s="166"/>
      <c r="AN103" s="166"/>
      <c r="AO103" s="166"/>
      <c r="AP103" s="166"/>
      <c r="AQ103" s="166"/>
      <c r="AR103" s="166"/>
      <c r="AS103" s="166"/>
      <c r="AT103" s="166"/>
      <c r="AU103" s="166"/>
      <c r="AV103" s="166"/>
      <c r="AW103" s="166"/>
      <c r="AX103" s="166"/>
      <c r="AY103" s="166"/>
    </row>
    <row r="104" spans="2:51" x14ac:dyDescent="0.2">
      <c r="B104" s="360"/>
      <c r="C104" s="322"/>
      <c r="D104" s="322"/>
      <c r="E104" s="323"/>
      <c r="F104" s="324"/>
      <c r="G104" s="324"/>
      <c r="H104" s="341"/>
      <c r="J104" s="294"/>
      <c r="K104" s="168"/>
      <c r="L104" s="168"/>
      <c r="M104" s="290"/>
      <c r="N104" s="290"/>
      <c r="AA104" s="168"/>
      <c r="AB104" s="168"/>
      <c r="AC104" s="290"/>
      <c r="AD104" s="337"/>
      <c r="AE104" s="337"/>
      <c r="AF104" s="337"/>
      <c r="AG104" s="166"/>
      <c r="AH104" s="294"/>
      <c r="AI104" s="168"/>
      <c r="AJ104" s="168"/>
      <c r="AK104" s="290"/>
      <c r="AL104" s="290"/>
      <c r="AM104" s="166"/>
      <c r="AN104" s="166"/>
      <c r="AO104" s="166"/>
      <c r="AP104" s="166"/>
      <c r="AQ104" s="166"/>
      <c r="AR104" s="166"/>
      <c r="AS104" s="166"/>
      <c r="AT104" s="166"/>
      <c r="AU104" s="166"/>
      <c r="AV104" s="166"/>
      <c r="AW104" s="166"/>
      <c r="AX104" s="166"/>
      <c r="AY104" s="166"/>
    </row>
    <row r="105" spans="2:51" x14ac:dyDescent="0.2">
      <c r="AA105" s="166"/>
      <c r="AB105" s="166"/>
      <c r="AC105" s="166"/>
      <c r="AD105" s="166"/>
      <c r="AE105" s="166"/>
      <c r="AF105" s="166"/>
      <c r="AG105" s="166"/>
      <c r="AH105" s="166"/>
      <c r="AI105" s="166"/>
      <c r="AJ105" s="166"/>
      <c r="AK105" s="166"/>
      <c r="AL105" s="166"/>
      <c r="AM105" s="166"/>
      <c r="AN105" s="166"/>
      <c r="AO105" s="166"/>
      <c r="AP105" s="166"/>
      <c r="AQ105" s="166"/>
      <c r="AR105" s="166"/>
      <c r="AS105" s="166"/>
      <c r="AT105" s="166"/>
      <c r="AU105" s="166"/>
      <c r="AV105" s="166"/>
      <c r="AW105" s="166"/>
      <c r="AX105" s="166"/>
      <c r="AY105" s="166"/>
    </row>
    <row r="106" spans="2:51" x14ac:dyDescent="0.2">
      <c r="C106" s="1"/>
      <c r="D106" s="1"/>
      <c r="E106" s="1"/>
      <c r="I106" s="294"/>
      <c r="J106" s="168"/>
      <c r="K106" s="168"/>
      <c r="L106" s="290"/>
      <c r="AA106" s="166"/>
      <c r="AB106" s="166"/>
      <c r="AC106" s="166"/>
      <c r="AD106" s="166"/>
      <c r="AE106" s="166"/>
      <c r="AF106" s="166"/>
      <c r="AG106" s="166"/>
      <c r="AH106" s="166"/>
      <c r="AI106" s="166"/>
      <c r="AJ106" s="166"/>
      <c r="AK106" s="166"/>
      <c r="AL106" s="166"/>
      <c r="AM106" s="166"/>
      <c r="AN106" s="166"/>
      <c r="AO106" s="166"/>
      <c r="AP106" s="166"/>
      <c r="AQ106" s="166"/>
      <c r="AR106" s="166"/>
      <c r="AS106" s="166"/>
      <c r="AT106" s="166"/>
      <c r="AU106" s="166"/>
      <c r="AV106" s="166"/>
      <c r="AW106" s="166"/>
      <c r="AX106" s="166"/>
      <c r="AY106" s="166"/>
    </row>
    <row r="107" spans="2:51" x14ac:dyDescent="0.2">
      <c r="C107" s="1"/>
      <c r="D107" s="1"/>
      <c r="E107" s="1"/>
      <c r="I107" s="294"/>
      <c r="J107" s="168"/>
      <c r="K107" s="168"/>
      <c r="L107" s="290"/>
      <c r="AA107" s="166"/>
      <c r="AB107" s="166"/>
      <c r="AC107" s="166"/>
      <c r="AD107" s="166"/>
      <c r="AE107" s="166"/>
      <c r="AF107" s="166"/>
      <c r="AG107" s="166"/>
      <c r="AH107" s="166"/>
      <c r="AI107" s="166"/>
      <c r="AJ107" s="166"/>
      <c r="AK107" s="166"/>
      <c r="AL107" s="166"/>
      <c r="AM107" s="166"/>
      <c r="AN107" s="166"/>
      <c r="AO107" s="166"/>
      <c r="AP107" s="166"/>
      <c r="AQ107" s="166"/>
      <c r="AR107" s="166"/>
      <c r="AS107" s="166"/>
      <c r="AT107" s="166"/>
      <c r="AU107" s="166"/>
      <c r="AV107" s="166"/>
      <c r="AW107" s="166"/>
      <c r="AX107" s="166"/>
      <c r="AY107" s="166"/>
    </row>
    <row r="108" spans="2:51" x14ac:dyDescent="0.2">
      <c r="C108" s="1"/>
      <c r="D108" s="1"/>
      <c r="E108" s="1"/>
      <c r="I108" s="294"/>
      <c r="J108" s="168"/>
      <c r="K108" s="168"/>
      <c r="L108" s="290"/>
      <c r="AA108" s="166"/>
      <c r="AB108" s="166"/>
      <c r="AC108" s="166"/>
      <c r="AD108" s="166"/>
      <c r="AE108" s="166"/>
      <c r="AF108" s="166"/>
      <c r="AG108" s="166"/>
      <c r="AH108" s="166"/>
      <c r="AI108" s="166"/>
      <c r="AJ108" s="166"/>
      <c r="AK108" s="166"/>
      <c r="AL108" s="166"/>
      <c r="AM108" s="166"/>
      <c r="AN108" s="166"/>
      <c r="AO108" s="166"/>
      <c r="AP108" s="166"/>
      <c r="AQ108" s="166"/>
      <c r="AR108" s="166"/>
      <c r="AS108" s="166"/>
      <c r="AT108" s="166"/>
      <c r="AU108" s="166"/>
      <c r="AV108" s="166"/>
      <c r="AW108" s="166"/>
      <c r="AX108" s="166"/>
      <c r="AY108" s="166"/>
    </row>
    <row r="109" spans="2:51" x14ac:dyDescent="0.2">
      <c r="C109" s="1"/>
      <c r="D109" s="1"/>
      <c r="E109" s="1"/>
      <c r="I109" s="294"/>
      <c r="J109" s="168"/>
      <c r="K109" s="168"/>
      <c r="L109" s="290"/>
      <c r="AA109" s="166"/>
      <c r="AB109" s="166"/>
      <c r="AC109" s="166"/>
      <c r="AD109" s="166"/>
      <c r="AE109" s="166"/>
      <c r="AF109" s="166"/>
      <c r="AG109" s="166"/>
      <c r="AH109" s="166"/>
      <c r="AI109" s="166"/>
      <c r="AJ109" s="166"/>
      <c r="AK109" s="166"/>
      <c r="AL109" s="166"/>
      <c r="AM109" s="166"/>
      <c r="AN109" s="166"/>
      <c r="AO109" s="166"/>
      <c r="AP109" s="166"/>
      <c r="AQ109" s="166"/>
      <c r="AR109" s="166"/>
      <c r="AS109" s="166"/>
      <c r="AT109" s="166"/>
      <c r="AU109" s="166"/>
      <c r="AV109" s="166"/>
      <c r="AW109" s="166"/>
      <c r="AX109" s="166"/>
      <c r="AY109" s="166"/>
    </row>
    <row r="110" spans="2:51" x14ac:dyDescent="0.2">
      <c r="C110" s="1"/>
      <c r="D110" s="1"/>
      <c r="E110" s="1"/>
      <c r="I110" s="294"/>
      <c r="J110" s="168"/>
      <c r="K110" s="168"/>
      <c r="L110" s="290"/>
    </row>
    <row r="111" spans="2:51" x14ac:dyDescent="0.2">
      <c r="C111" s="1"/>
      <c r="D111" s="1"/>
      <c r="E111" s="1"/>
      <c r="I111" s="294"/>
      <c r="J111" s="168"/>
      <c r="K111" s="168"/>
      <c r="L111" s="290"/>
    </row>
    <row r="112" spans="2:51" x14ac:dyDescent="0.2">
      <c r="C112" s="1"/>
      <c r="D112" s="1"/>
      <c r="E112" s="1"/>
      <c r="I112" s="294"/>
      <c r="J112" s="168"/>
      <c r="K112" s="168"/>
      <c r="L112" s="290"/>
    </row>
    <row r="113" spans="3:12" x14ac:dyDescent="0.2">
      <c r="C113" s="1"/>
      <c r="D113" s="1"/>
      <c r="E113" s="1"/>
      <c r="I113" s="294"/>
      <c r="J113" s="168"/>
      <c r="K113" s="168"/>
      <c r="L113" s="290"/>
    </row>
    <row r="114" spans="3:12" x14ac:dyDescent="0.2">
      <c r="C114" s="1"/>
      <c r="D114" s="1"/>
      <c r="E114" s="1"/>
      <c r="I114" s="294"/>
      <c r="J114" s="168"/>
      <c r="K114" s="168"/>
      <c r="L114" s="290"/>
    </row>
    <row r="115" spans="3:12" x14ac:dyDescent="0.2">
      <c r="C115" s="1"/>
      <c r="D115" s="1"/>
      <c r="E115" s="1"/>
      <c r="I115" s="294"/>
      <c r="J115" s="168"/>
      <c r="K115" s="168"/>
      <c r="L115" s="290"/>
    </row>
    <row r="116" spans="3:12" x14ac:dyDescent="0.2">
      <c r="C116" s="1"/>
      <c r="D116" s="1"/>
      <c r="E116" s="1"/>
      <c r="I116" s="294"/>
      <c r="J116" s="168"/>
      <c r="K116" s="168"/>
      <c r="L116" s="290"/>
    </row>
    <row r="117" spans="3:12" x14ac:dyDescent="0.2">
      <c r="C117" s="1"/>
      <c r="D117" s="1"/>
      <c r="E117" s="1"/>
      <c r="I117" s="294"/>
      <c r="J117" s="168"/>
      <c r="K117" s="168"/>
      <c r="L117" s="290"/>
    </row>
    <row r="118" spans="3:12" x14ac:dyDescent="0.2">
      <c r="C118" s="1"/>
      <c r="D118" s="1"/>
      <c r="E118" s="1"/>
      <c r="I118" s="294"/>
      <c r="J118" s="168"/>
      <c r="K118" s="168"/>
      <c r="L118" s="290"/>
    </row>
    <row r="119" spans="3:12" x14ac:dyDescent="0.2">
      <c r="C119" s="1"/>
      <c r="D119" s="1"/>
      <c r="E119" s="1"/>
      <c r="I119" s="294"/>
      <c r="J119" s="168"/>
      <c r="K119" s="168"/>
      <c r="L119" s="290"/>
    </row>
    <row r="120" spans="3:12" x14ac:dyDescent="0.2">
      <c r="C120" s="1"/>
      <c r="D120" s="1"/>
      <c r="E120" s="1"/>
      <c r="I120" s="294"/>
      <c r="J120" s="168"/>
      <c r="K120" s="168"/>
      <c r="L120" s="290"/>
    </row>
    <row r="121" spans="3:12" x14ac:dyDescent="0.2">
      <c r="C121" s="1"/>
      <c r="D121" s="1"/>
      <c r="E121" s="1"/>
      <c r="I121" s="294"/>
      <c r="J121" s="168"/>
      <c r="K121" s="168"/>
      <c r="L121" s="290"/>
    </row>
    <row r="122" spans="3:12" x14ac:dyDescent="0.2">
      <c r="C122" s="1"/>
      <c r="D122" s="1"/>
      <c r="E122" s="1"/>
      <c r="I122" s="294"/>
      <c r="J122" s="168"/>
      <c r="K122" s="168"/>
      <c r="L122" s="290"/>
    </row>
    <row r="123" spans="3:12" x14ac:dyDescent="0.2">
      <c r="C123" s="1"/>
      <c r="D123" s="1"/>
      <c r="E123" s="1"/>
      <c r="I123" s="294"/>
      <c r="J123" s="168"/>
      <c r="K123" s="168"/>
      <c r="L123" s="290"/>
    </row>
    <row r="124" spans="3:12" x14ac:dyDescent="0.2">
      <c r="C124" s="1"/>
      <c r="D124" s="1"/>
      <c r="E124" s="1"/>
      <c r="I124" s="294"/>
      <c r="J124" s="168"/>
      <c r="K124" s="168"/>
      <c r="L124" s="290"/>
    </row>
    <row r="125" spans="3:12" x14ac:dyDescent="0.2">
      <c r="C125" s="1"/>
      <c r="D125" s="1"/>
      <c r="E125" s="1"/>
      <c r="I125" s="294"/>
      <c r="J125" s="168"/>
      <c r="K125" s="168"/>
      <c r="L125" s="290"/>
    </row>
    <row r="126" spans="3:12" x14ac:dyDescent="0.2">
      <c r="C126" s="1"/>
      <c r="D126" s="1"/>
      <c r="E126" s="1"/>
      <c r="I126" s="294"/>
      <c r="J126" s="168"/>
      <c r="K126" s="168"/>
      <c r="L126" s="290"/>
    </row>
    <row r="127" spans="3:12" x14ac:dyDescent="0.2">
      <c r="C127" s="1"/>
      <c r="D127" s="1"/>
      <c r="E127" s="1"/>
      <c r="I127" s="294"/>
      <c r="J127" s="168"/>
      <c r="K127" s="168"/>
      <c r="L127" s="290"/>
    </row>
    <row r="128" spans="3:12" x14ac:dyDescent="0.2">
      <c r="C128" s="1"/>
      <c r="D128" s="1"/>
      <c r="E128" s="1"/>
      <c r="I128" s="294"/>
      <c r="J128" s="168"/>
      <c r="K128" s="168"/>
      <c r="L128" s="290"/>
    </row>
    <row r="129" spans="3:12" x14ac:dyDescent="0.2">
      <c r="C129" s="1"/>
      <c r="D129" s="1"/>
      <c r="E129" s="1"/>
      <c r="I129" s="294"/>
      <c r="J129" s="168"/>
      <c r="K129" s="168"/>
      <c r="L129" s="290"/>
    </row>
    <row r="130" spans="3:12" x14ac:dyDescent="0.2">
      <c r="C130" s="1"/>
      <c r="D130" s="1"/>
      <c r="E130" s="1"/>
      <c r="I130" s="294"/>
      <c r="J130" s="168"/>
      <c r="K130" s="168"/>
      <c r="L130" s="290"/>
    </row>
    <row r="131" spans="3:12" x14ac:dyDescent="0.2">
      <c r="C131" s="1"/>
      <c r="D131" s="1"/>
      <c r="E131" s="1"/>
      <c r="I131" s="294"/>
      <c r="J131" s="168"/>
      <c r="K131" s="168"/>
      <c r="L131" s="290"/>
    </row>
    <row r="132" spans="3:12" x14ac:dyDescent="0.2">
      <c r="C132" s="1"/>
      <c r="D132" s="1"/>
      <c r="E132" s="1"/>
      <c r="I132" s="294"/>
      <c r="J132" s="168"/>
      <c r="K132" s="168"/>
      <c r="L132" s="290"/>
    </row>
    <row r="133" spans="3:12" x14ac:dyDescent="0.2">
      <c r="C133" s="1"/>
      <c r="D133" s="1"/>
      <c r="E133" s="1"/>
      <c r="I133" s="294"/>
      <c r="J133" s="168"/>
      <c r="K133" s="168"/>
      <c r="L133" s="290"/>
    </row>
    <row r="134" spans="3:12" x14ac:dyDescent="0.2">
      <c r="C134" s="1"/>
      <c r="D134" s="1"/>
      <c r="E134" s="1"/>
      <c r="I134" s="294"/>
      <c r="J134" s="168"/>
      <c r="K134" s="168"/>
      <c r="L134" s="290"/>
    </row>
    <row r="135" spans="3:12" x14ac:dyDescent="0.2">
      <c r="C135" s="1"/>
      <c r="D135" s="1"/>
      <c r="E135" s="1"/>
      <c r="I135" s="294"/>
      <c r="J135" s="168"/>
      <c r="K135" s="168"/>
      <c r="L135" s="290"/>
    </row>
    <row r="136" spans="3:12" x14ac:dyDescent="0.2">
      <c r="C136" s="1"/>
      <c r="D136" s="1"/>
      <c r="E136" s="1"/>
      <c r="I136" s="294"/>
      <c r="J136" s="168"/>
      <c r="K136" s="168"/>
      <c r="L136" s="290"/>
    </row>
    <row r="137" spans="3:12" x14ac:dyDescent="0.2">
      <c r="C137" s="1"/>
      <c r="D137" s="1"/>
      <c r="E137" s="1"/>
      <c r="I137" s="294"/>
      <c r="J137" s="168"/>
      <c r="K137" s="168"/>
      <c r="L137" s="290"/>
    </row>
    <row r="138" spans="3:12" x14ac:dyDescent="0.2">
      <c r="C138" s="1"/>
      <c r="D138" s="1"/>
      <c r="E138" s="1"/>
      <c r="I138" s="294"/>
      <c r="J138" s="168"/>
      <c r="K138" s="168"/>
      <c r="L138" s="290"/>
    </row>
    <row r="139" spans="3:12" x14ac:dyDescent="0.2">
      <c r="C139" s="1"/>
      <c r="D139" s="1"/>
      <c r="E139" s="1"/>
      <c r="I139" s="294"/>
      <c r="J139" s="168"/>
      <c r="K139" s="168"/>
      <c r="L139" s="290"/>
    </row>
    <row r="140" spans="3:12" x14ac:dyDescent="0.2">
      <c r="C140" s="1"/>
      <c r="D140" s="1"/>
      <c r="E140" s="1"/>
      <c r="I140" s="294"/>
      <c r="J140" s="168"/>
      <c r="K140" s="168"/>
      <c r="L140" s="290"/>
    </row>
    <row r="141" spans="3:12" x14ac:dyDescent="0.2">
      <c r="C141" s="1"/>
      <c r="D141" s="1"/>
      <c r="E141" s="1"/>
      <c r="I141" s="294"/>
      <c r="J141" s="168"/>
      <c r="K141" s="168"/>
      <c r="L141" s="290"/>
    </row>
    <row r="142" spans="3:12" x14ac:dyDescent="0.2">
      <c r="C142" s="1"/>
      <c r="D142" s="1"/>
      <c r="E142" s="1"/>
      <c r="I142" s="294"/>
      <c r="J142" s="168"/>
      <c r="K142" s="168"/>
      <c r="L142" s="290"/>
    </row>
    <row r="143" spans="3:12" x14ac:dyDescent="0.2">
      <c r="C143" s="1"/>
      <c r="D143" s="1"/>
      <c r="E143" s="1"/>
      <c r="I143" s="294"/>
      <c r="J143" s="168"/>
      <c r="K143" s="168"/>
      <c r="L143" s="290"/>
    </row>
    <row r="144" spans="3:12" x14ac:dyDescent="0.2">
      <c r="C144" s="1"/>
      <c r="D144" s="1"/>
      <c r="E144" s="1"/>
      <c r="I144" s="294"/>
      <c r="J144" s="168"/>
      <c r="K144" s="168"/>
      <c r="L144" s="290"/>
    </row>
    <row r="145" spans="3:12" x14ac:dyDescent="0.2">
      <c r="C145" s="1"/>
      <c r="D145" s="1"/>
      <c r="E145" s="1"/>
      <c r="I145" s="294"/>
      <c r="J145" s="168"/>
      <c r="K145" s="168"/>
      <c r="L145" s="290"/>
    </row>
    <row r="146" spans="3:12" x14ac:dyDescent="0.2">
      <c r="C146" s="1"/>
      <c r="D146" s="1"/>
      <c r="E146" s="1"/>
      <c r="I146" s="294"/>
      <c r="J146" s="168"/>
      <c r="K146" s="168"/>
      <c r="L146" s="290"/>
    </row>
    <row r="147" spans="3:12" x14ac:dyDescent="0.2">
      <c r="C147" s="1"/>
      <c r="D147" s="1"/>
      <c r="E147" s="1"/>
      <c r="I147" s="294"/>
      <c r="J147" s="168"/>
      <c r="K147" s="168"/>
      <c r="L147" s="290"/>
    </row>
    <row r="148" spans="3:12" x14ac:dyDescent="0.2">
      <c r="C148" s="1"/>
      <c r="D148" s="1"/>
      <c r="E148" s="1"/>
      <c r="I148" s="294"/>
      <c r="J148" s="168"/>
      <c r="K148" s="168"/>
      <c r="L148" s="290"/>
    </row>
    <row r="149" spans="3:12" x14ac:dyDescent="0.2">
      <c r="C149" s="1"/>
      <c r="D149" s="1"/>
      <c r="E149" s="1"/>
      <c r="I149" s="294"/>
      <c r="J149" s="168"/>
      <c r="K149" s="168"/>
      <c r="L149" s="290"/>
    </row>
    <row r="150" spans="3:12" x14ac:dyDescent="0.2">
      <c r="C150" s="1"/>
      <c r="D150" s="1"/>
      <c r="E150" s="1"/>
      <c r="I150" s="294"/>
      <c r="J150" s="168"/>
      <c r="K150" s="168"/>
      <c r="L150" s="290"/>
    </row>
    <row r="151" spans="3:12" x14ac:dyDescent="0.2">
      <c r="C151" s="1"/>
      <c r="D151" s="1"/>
      <c r="E151" s="1"/>
      <c r="I151" s="294"/>
      <c r="J151" s="168"/>
      <c r="K151" s="168"/>
      <c r="L151" s="290"/>
    </row>
    <row r="152" spans="3:12" x14ac:dyDescent="0.2">
      <c r="C152" s="1"/>
      <c r="D152" s="1"/>
      <c r="E152" s="1"/>
      <c r="I152" s="294"/>
      <c r="J152" s="168"/>
      <c r="K152" s="168"/>
      <c r="L152" s="290"/>
    </row>
    <row r="153" spans="3:12" x14ac:dyDescent="0.2">
      <c r="C153" s="1"/>
      <c r="D153" s="1"/>
      <c r="E153" s="1"/>
      <c r="I153" s="294"/>
      <c r="J153" s="168"/>
      <c r="K153" s="168"/>
      <c r="L153" s="290"/>
    </row>
    <row r="154" spans="3:12" x14ac:dyDescent="0.2">
      <c r="C154" s="1"/>
      <c r="D154" s="1"/>
      <c r="E154" s="1"/>
      <c r="I154" s="294"/>
      <c r="J154" s="168"/>
      <c r="K154" s="168"/>
      <c r="L154" s="290"/>
    </row>
    <row r="155" spans="3:12" x14ac:dyDescent="0.2">
      <c r="C155" s="1"/>
      <c r="D155" s="1"/>
      <c r="E155" s="1"/>
      <c r="I155" s="294"/>
      <c r="J155" s="168"/>
      <c r="K155" s="168"/>
      <c r="L155" s="290"/>
    </row>
    <row r="156" spans="3:12" x14ac:dyDescent="0.2">
      <c r="C156" s="1"/>
      <c r="D156" s="1"/>
      <c r="E156" s="1"/>
      <c r="I156" s="294"/>
      <c r="J156" s="168"/>
      <c r="K156" s="168"/>
      <c r="L156" s="290"/>
    </row>
    <row r="157" spans="3:12" x14ac:dyDescent="0.2">
      <c r="C157" s="1"/>
      <c r="D157" s="1"/>
      <c r="E157" s="1"/>
      <c r="I157" s="294"/>
      <c r="J157" s="168"/>
      <c r="K157" s="168"/>
      <c r="L157" s="290"/>
    </row>
    <row r="158" spans="3:12" x14ac:dyDescent="0.2">
      <c r="C158" s="1"/>
      <c r="D158" s="1"/>
      <c r="E158" s="1"/>
      <c r="I158" s="294"/>
      <c r="J158" s="168"/>
      <c r="K158" s="168"/>
      <c r="L158" s="290"/>
    </row>
    <row r="159" spans="3:12" x14ac:dyDescent="0.2">
      <c r="C159" s="1"/>
      <c r="D159" s="1"/>
      <c r="E159" s="1"/>
      <c r="I159" s="294"/>
      <c r="J159" s="168"/>
      <c r="K159" s="168"/>
      <c r="L159" s="290"/>
    </row>
    <row r="160" spans="3:12" x14ac:dyDescent="0.2">
      <c r="C160" s="1"/>
      <c r="D160" s="1"/>
      <c r="E160" s="1"/>
      <c r="I160" s="294"/>
      <c r="J160" s="168"/>
      <c r="K160" s="168"/>
      <c r="L160" s="290"/>
    </row>
    <row r="161" spans="3:12" x14ac:dyDescent="0.2">
      <c r="C161" s="1"/>
      <c r="D161" s="1"/>
      <c r="E161" s="1"/>
      <c r="I161" s="294"/>
      <c r="J161" s="168"/>
      <c r="K161" s="168"/>
      <c r="L161" s="290"/>
    </row>
    <row r="162" spans="3:12" x14ac:dyDescent="0.2">
      <c r="C162" s="1"/>
      <c r="D162" s="1"/>
      <c r="E162" s="1"/>
      <c r="I162" s="294"/>
      <c r="J162" s="168"/>
      <c r="K162" s="168"/>
      <c r="L162" s="290"/>
    </row>
    <row r="163" spans="3:12" x14ac:dyDescent="0.2">
      <c r="C163" s="1"/>
      <c r="D163" s="1"/>
      <c r="E163" s="1"/>
      <c r="I163" s="294"/>
      <c r="J163" s="168"/>
      <c r="K163" s="168"/>
      <c r="L163" s="290"/>
    </row>
    <row r="164" spans="3:12" x14ac:dyDescent="0.2">
      <c r="C164" s="1"/>
      <c r="D164" s="1"/>
      <c r="E164" s="1"/>
      <c r="I164" s="294"/>
      <c r="J164" s="168"/>
      <c r="K164" s="168"/>
      <c r="L164" s="290"/>
    </row>
    <row r="165" spans="3:12" x14ac:dyDescent="0.2">
      <c r="C165" s="1"/>
      <c r="D165" s="1"/>
      <c r="E165" s="1"/>
      <c r="I165" s="294"/>
      <c r="J165" s="168"/>
      <c r="K165" s="168"/>
      <c r="L165" s="290"/>
    </row>
    <row r="166" spans="3:12" x14ac:dyDescent="0.2">
      <c r="C166" s="1"/>
      <c r="D166" s="1"/>
      <c r="E166" s="1"/>
      <c r="I166" s="294"/>
      <c r="J166" s="168"/>
      <c r="K166" s="168"/>
      <c r="L166" s="290"/>
    </row>
    <row r="167" spans="3:12" x14ac:dyDescent="0.2">
      <c r="C167" s="1"/>
      <c r="D167" s="1"/>
      <c r="E167" s="1"/>
      <c r="I167" s="294"/>
      <c r="J167" s="168"/>
      <c r="K167" s="168"/>
      <c r="L167" s="290"/>
    </row>
    <row r="168" spans="3:12" x14ac:dyDescent="0.2">
      <c r="C168" s="1"/>
      <c r="D168" s="1"/>
      <c r="E168" s="1"/>
      <c r="I168" s="294"/>
      <c r="J168" s="168"/>
      <c r="K168" s="168"/>
      <c r="L168" s="290"/>
    </row>
    <row r="169" spans="3:12" x14ac:dyDescent="0.2">
      <c r="C169" s="1"/>
      <c r="D169" s="1"/>
      <c r="E169" s="1"/>
      <c r="I169" s="294"/>
      <c r="J169" s="168"/>
      <c r="K169" s="168"/>
      <c r="L169" s="290"/>
    </row>
    <row r="170" spans="3:12" x14ac:dyDescent="0.2">
      <c r="C170" s="1"/>
      <c r="D170" s="1"/>
      <c r="E170" s="1"/>
      <c r="I170" s="294"/>
      <c r="J170" s="168"/>
      <c r="K170" s="168"/>
      <c r="L170" s="290"/>
    </row>
    <row r="171" spans="3:12" x14ac:dyDescent="0.2">
      <c r="C171" s="1"/>
      <c r="D171" s="1"/>
      <c r="E171" s="1"/>
      <c r="I171" s="294"/>
      <c r="J171" s="168"/>
      <c r="K171" s="168"/>
      <c r="L171" s="290"/>
    </row>
    <row r="172" spans="3:12" x14ac:dyDescent="0.2">
      <c r="C172" s="1"/>
      <c r="D172" s="1"/>
      <c r="E172" s="1"/>
      <c r="I172" s="294"/>
      <c r="J172" s="168"/>
      <c r="K172" s="168"/>
      <c r="L172" s="290"/>
    </row>
    <row r="173" spans="3:12" x14ac:dyDescent="0.2">
      <c r="C173" s="1"/>
      <c r="D173" s="1"/>
      <c r="E173" s="1"/>
      <c r="I173" s="294"/>
      <c r="J173" s="168"/>
      <c r="K173" s="168"/>
      <c r="L173" s="290"/>
    </row>
    <row r="174" spans="3:12" x14ac:dyDescent="0.2">
      <c r="C174" s="1"/>
      <c r="D174" s="1"/>
      <c r="E174" s="1"/>
      <c r="I174" s="294"/>
      <c r="J174" s="168"/>
      <c r="K174" s="168"/>
      <c r="L174" s="290"/>
    </row>
    <row r="175" spans="3:12" x14ac:dyDescent="0.2">
      <c r="C175" s="1"/>
      <c r="D175" s="1"/>
      <c r="E175" s="1"/>
      <c r="I175" s="294"/>
      <c r="J175" s="168"/>
      <c r="K175" s="168"/>
      <c r="L175" s="290"/>
    </row>
    <row r="176" spans="3:12" x14ac:dyDescent="0.2">
      <c r="C176" s="1"/>
      <c r="D176" s="1"/>
      <c r="E176" s="1"/>
      <c r="I176" s="294"/>
      <c r="J176" s="168"/>
      <c r="K176" s="168"/>
      <c r="L176" s="290"/>
    </row>
    <row r="177" spans="3:12" x14ac:dyDescent="0.2">
      <c r="C177" s="1"/>
      <c r="D177" s="1"/>
      <c r="E177" s="1"/>
      <c r="I177" s="294"/>
      <c r="J177" s="168"/>
      <c r="K177" s="168"/>
      <c r="L177" s="290"/>
    </row>
    <row r="178" spans="3:12" x14ac:dyDescent="0.2">
      <c r="C178" s="1"/>
      <c r="D178" s="1"/>
      <c r="E178" s="1"/>
      <c r="I178" s="294"/>
      <c r="J178" s="168"/>
      <c r="K178" s="168"/>
      <c r="L178" s="290"/>
    </row>
    <row r="179" spans="3:12" x14ac:dyDescent="0.2">
      <c r="C179" s="1"/>
      <c r="D179" s="1"/>
      <c r="E179" s="1"/>
      <c r="I179" s="294"/>
      <c r="J179" s="168"/>
      <c r="K179" s="168"/>
      <c r="L179" s="290"/>
    </row>
    <row r="180" spans="3:12" x14ac:dyDescent="0.2">
      <c r="C180" s="1"/>
      <c r="D180" s="1"/>
      <c r="E180" s="1"/>
      <c r="I180" s="294"/>
      <c r="J180" s="168"/>
      <c r="K180" s="168"/>
      <c r="L180" s="290"/>
    </row>
    <row r="181" spans="3:12" x14ac:dyDescent="0.2">
      <c r="C181" s="1"/>
      <c r="D181" s="1"/>
      <c r="E181" s="1"/>
      <c r="I181" s="294"/>
      <c r="J181" s="168"/>
      <c r="K181" s="168"/>
      <c r="L181" s="290"/>
    </row>
    <row r="182" spans="3:12" x14ac:dyDescent="0.2">
      <c r="C182" s="1"/>
      <c r="D182" s="1"/>
      <c r="E182" s="1"/>
      <c r="I182" s="294"/>
      <c r="J182" s="168"/>
      <c r="K182" s="168"/>
      <c r="L182" s="290"/>
    </row>
    <row r="183" spans="3:12" x14ac:dyDescent="0.2">
      <c r="C183" s="1"/>
      <c r="D183" s="1"/>
      <c r="E183" s="1"/>
      <c r="I183" s="294"/>
      <c r="J183" s="168"/>
      <c r="K183" s="168"/>
      <c r="L183" s="290"/>
    </row>
    <row r="184" spans="3:12" x14ac:dyDescent="0.2">
      <c r="C184" s="1"/>
      <c r="D184" s="1"/>
      <c r="E184" s="1"/>
      <c r="I184" s="294"/>
      <c r="J184" s="168"/>
      <c r="K184" s="168"/>
      <c r="L184" s="290"/>
    </row>
    <row r="185" spans="3:12" x14ac:dyDescent="0.2">
      <c r="C185" s="1"/>
      <c r="D185" s="1"/>
      <c r="E185" s="1"/>
    </row>
    <row r="186" spans="3:12" x14ac:dyDescent="0.2">
      <c r="C186" s="1"/>
      <c r="D186" s="1"/>
      <c r="E186" s="1"/>
    </row>
    <row r="187" spans="3:12" x14ac:dyDescent="0.2">
      <c r="C187" s="1"/>
      <c r="D187" s="1"/>
      <c r="E187" s="1"/>
    </row>
    <row r="188" spans="3:12" x14ac:dyDescent="0.2">
      <c r="C188" s="1"/>
      <c r="D188" s="1"/>
      <c r="E188" s="1"/>
    </row>
  </sheetData>
  <sheetProtection password="CDD2" sheet="1" objects="1" scenarios="1"/>
  <pageMargins left="0.75" right="0.75" top="1" bottom="1" header="0.5" footer="0.5"/>
  <pageSetup orientation="portrait" verticalDpi="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457"/>
  <sheetViews>
    <sheetView showGridLines="0" zoomScale="90" workbookViewId="0">
      <pane ySplit="17" topLeftCell="A18" activePane="bottomLeft" state="frozen"/>
      <selection pane="bottomLeft"/>
    </sheetView>
  </sheetViews>
  <sheetFormatPr defaultRowHeight="12.75" x14ac:dyDescent="0.2"/>
  <cols>
    <col min="1" max="1" width="4.140625" customWidth="1"/>
    <col min="2" max="2" width="13.42578125" customWidth="1"/>
    <col min="4" max="5" width="10.28515625" customWidth="1"/>
    <col min="9" max="9" width="10.42578125" customWidth="1"/>
    <col min="11" max="11" width="12.28515625" customWidth="1"/>
    <col min="12" max="12" width="12.7109375" customWidth="1"/>
    <col min="14" max="14" width="6.28515625" hidden="1" customWidth="1"/>
  </cols>
  <sheetData>
    <row r="2" spans="2:13" x14ac:dyDescent="0.2">
      <c r="B2" s="116">
        <f ca="1">NOW()</f>
        <v>42899.605034722219</v>
      </c>
    </row>
    <row r="3" spans="2:13" ht="15.75" x14ac:dyDescent="0.25">
      <c r="B3" s="117"/>
      <c r="G3" s="35" t="s">
        <v>1722</v>
      </c>
    </row>
    <row r="4" spans="2:13" ht="15.75" x14ac:dyDescent="0.25">
      <c r="G4" s="35" t="s">
        <v>1723</v>
      </c>
    </row>
    <row r="5" spans="2:13" x14ac:dyDescent="0.2">
      <c r="G5" s="192"/>
    </row>
    <row r="6" spans="2:13" ht="23.25" x14ac:dyDescent="0.35">
      <c r="C6" s="25"/>
      <c r="G6" s="35" t="s">
        <v>1724</v>
      </c>
    </row>
    <row r="7" spans="2:13" ht="15.75" x14ac:dyDescent="0.25">
      <c r="D7" s="35" t="s">
        <v>1720</v>
      </c>
      <c r="E7" s="192"/>
      <c r="J7" s="35" t="s">
        <v>1725</v>
      </c>
    </row>
    <row r="8" spans="2:13" ht="15.75" x14ac:dyDescent="0.25">
      <c r="B8" s="195"/>
    </row>
    <row r="9" spans="2:13" ht="15.75" x14ac:dyDescent="0.25">
      <c r="B9" s="195"/>
    </row>
    <row r="10" spans="2:13" ht="15.75" x14ac:dyDescent="0.25">
      <c r="J10" s="35" t="s">
        <v>1726</v>
      </c>
    </row>
    <row r="11" spans="2:13" ht="23.25" x14ac:dyDescent="0.35">
      <c r="B11" s="193" t="s">
        <v>1437</v>
      </c>
      <c r="E11" s="35" t="s">
        <v>1739</v>
      </c>
    </row>
    <row r="12" spans="2:13" ht="23.25" x14ac:dyDescent="0.35">
      <c r="B12" s="193" t="s">
        <v>1438</v>
      </c>
      <c r="E12" s="35" t="s">
        <v>1740</v>
      </c>
      <c r="H12" s="35" t="s">
        <v>1736</v>
      </c>
    </row>
    <row r="13" spans="2:13" ht="15.75" x14ac:dyDescent="0.25">
      <c r="E13" s="35"/>
    </row>
    <row r="14" spans="2:13" ht="15.75" x14ac:dyDescent="0.25">
      <c r="H14" s="35"/>
    </row>
    <row r="15" spans="2:13" ht="13.5" thickBot="1" x14ac:dyDescent="0.25"/>
    <row r="16" spans="2:13" ht="15.75" x14ac:dyDescent="0.25">
      <c r="B16" s="370" t="s">
        <v>1436</v>
      </c>
      <c r="C16" s="371" t="s">
        <v>895</v>
      </c>
      <c r="D16" s="371" t="s">
        <v>1683</v>
      </c>
      <c r="E16" s="371" t="s">
        <v>907</v>
      </c>
      <c r="F16" s="371" t="s">
        <v>908</v>
      </c>
      <c r="G16" s="372" t="s">
        <v>909</v>
      </c>
      <c r="H16" s="397" t="s">
        <v>910</v>
      </c>
      <c r="I16" s="386" t="s">
        <v>896</v>
      </c>
      <c r="J16" s="386" t="s">
        <v>1096</v>
      </c>
      <c r="K16" s="374" t="s">
        <v>1563</v>
      </c>
      <c r="L16" s="374" t="s">
        <v>1792</v>
      </c>
      <c r="M16" s="374" t="s">
        <v>1484</v>
      </c>
    </row>
    <row r="17" spans="2:14" ht="16.5" thickBot="1" x14ac:dyDescent="0.3">
      <c r="B17" s="375" t="s">
        <v>894</v>
      </c>
      <c r="C17" s="376" t="s">
        <v>904</v>
      </c>
      <c r="D17" s="376" t="s">
        <v>906</v>
      </c>
      <c r="E17" s="376" t="s">
        <v>1095</v>
      </c>
      <c r="F17" s="376" t="s">
        <v>941</v>
      </c>
      <c r="G17" s="378"/>
      <c r="H17" s="380"/>
      <c r="I17" s="378" t="s">
        <v>897</v>
      </c>
      <c r="J17" s="378" t="s">
        <v>897</v>
      </c>
      <c r="K17" s="379" t="s">
        <v>1564</v>
      </c>
      <c r="L17" s="381" t="s">
        <v>1793</v>
      </c>
      <c r="M17" s="381" t="s">
        <v>1813</v>
      </c>
    </row>
    <row r="18" spans="2:14" x14ac:dyDescent="0.2">
      <c r="B18" s="18" t="s">
        <v>1673</v>
      </c>
      <c r="C18" s="20">
        <v>18.6875</v>
      </c>
      <c r="D18" s="19">
        <v>1.125</v>
      </c>
      <c r="E18" s="20">
        <v>16.75</v>
      </c>
      <c r="F18" s="19">
        <v>2</v>
      </c>
      <c r="G18" s="19">
        <v>3.125</v>
      </c>
      <c r="H18" s="19"/>
      <c r="I18" s="20"/>
      <c r="J18" s="19"/>
      <c r="K18" s="123">
        <f t="shared" ref="K18:K24" si="0">((C18-(F18*1))*2+(E18*2)+(F18*2))*12/144</f>
        <v>5.90625</v>
      </c>
      <c r="L18" s="280">
        <f t="shared" ref="L18:L24" si="1">K18*3.2808399*0.09290304</f>
        <v>1.8002250027363422</v>
      </c>
      <c r="M18" s="280">
        <f>N18*3.2808399*0.4535924</f>
        <v>267.12544594408843</v>
      </c>
      <c r="N18">
        <v>179.5</v>
      </c>
    </row>
    <row r="19" spans="2:14" x14ac:dyDescent="0.2">
      <c r="B19" s="18" t="s">
        <v>1672</v>
      </c>
      <c r="C19" s="20">
        <v>18.5625</v>
      </c>
      <c r="D19" s="19">
        <v>1</v>
      </c>
      <c r="E19" s="20">
        <v>16.625</v>
      </c>
      <c r="F19" s="19">
        <v>1.875</v>
      </c>
      <c r="G19" s="19">
        <v>3</v>
      </c>
      <c r="H19" s="19"/>
      <c r="I19" s="20"/>
      <c r="J19" s="19"/>
      <c r="K19" s="123">
        <f t="shared" si="0"/>
        <v>5.864583333333333</v>
      </c>
      <c r="L19" s="281">
        <f t="shared" si="1"/>
        <v>1.787525002717038</v>
      </c>
      <c r="M19" s="281">
        <f t="shared" ref="M19:M82" si="2">N19*3.2808399*0.4535924</f>
        <v>244.05890325810864</v>
      </c>
      <c r="N19">
        <v>164</v>
      </c>
    </row>
    <row r="20" spans="2:14" x14ac:dyDescent="0.2">
      <c r="B20" s="159" t="s">
        <v>1249</v>
      </c>
      <c r="C20" s="190">
        <v>18.375</v>
      </c>
      <c r="D20" s="135">
        <v>0.9375</v>
      </c>
      <c r="E20" s="160">
        <v>16.625</v>
      </c>
      <c r="F20" s="135">
        <v>1.6875</v>
      </c>
      <c r="G20" s="135">
        <v>2.8125</v>
      </c>
      <c r="H20" s="135">
        <v>1.5</v>
      </c>
      <c r="I20" s="160">
        <v>5.5</v>
      </c>
      <c r="J20" s="135">
        <v>3.75</v>
      </c>
      <c r="K20" s="123">
        <f t="shared" si="0"/>
        <v>5.833333333333333</v>
      </c>
      <c r="L20" s="281">
        <f t="shared" si="1"/>
        <v>1.7780000027025602</v>
      </c>
      <c r="M20" s="279">
        <f t="shared" si="2"/>
        <v>223.22460663851402</v>
      </c>
      <c r="N20">
        <v>150</v>
      </c>
    </row>
    <row r="21" spans="2:14" x14ac:dyDescent="0.2">
      <c r="B21" s="18" t="s">
        <v>1250</v>
      </c>
      <c r="C21" s="20">
        <v>18.25</v>
      </c>
      <c r="D21" s="19">
        <v>0.875</v>
      </c>
      <c r="E21" s="20">
        <v>16.625</v>
      </c>
      <c r="F21" s="19">
        <v>1.5625</v>
      </c>
      <c r="G21" s="19">
        <v>2.6875</v>
      </c>
      <c r="H21" s="19">
        <v>1.5</v>
      </c>
      <c r="I21" s="20">
        <v>5.5</v>
      </c>
      <c r="J21" s="19">
        <v>3.75</v>
      </c>
      <c r="K21" s="123">
        <f t="shared" si="0"/>
        <v>5.8125</v>
      </c>
      <c r="L21" s="281">
        <f t="shared" si="1"/>
        <v>1.7716500026929081</v>
      </c>
      <c r="M21" s="281">
        <f t="shared" si="2"/>
        <v>208.34296619594642</v>
      </c>
      <c r="N21">
        <v>140</v>
      </c>
    </row>
    <row r="22" spans="2:14" x14ac:dyDescent="0.2">
      <c r="B22" s="18" t="s">
        <v>1251</v>
      </c>
      <c r="C22" s="20">
        <v>18.125</v>
      </c>
      <c r="D22" s="19">
        <v>0.8125</v>
      </c>
      <c r="E22" s="20">
        <v>16.5</v>
      </c>
      <c r="F22" s="19">
        <v>1.4375</v>
      </c>
      <c r="G22" s="133">
        <v>2.5625</v>
      </c>
      <c r="H22" s="133">
        <v>1.5</v>
      </c>
      <c r="I22" s="134">
        <v>5.5</v>
      </c>
      <c r="J22" s="133">
        <v>3.5</v>
      </c>
      <c r="K22" s="123">
        <f t="shared" si="0"/>
        <v>5.770833333333333</v>
      </c>
      <c r="L22" s="281">
        <f t="shared" si="1"/>
        <v>1.7589500026736042</v>
      </c>
      <c r="M22" s="281">
        <f t="shared" si="2"/>
        <v>193.46132575337882</v>
      </c>
      <c r="N22">
        <v>130</v>
      </c>
    </row>
    <row r="23" spans="2:14" x14ac:dyDescent="0.2">
      <c r="B23" s="18" t="s">
        <v>1252</v>
      </c>
      <c r="C23" s="20">
        <v>18</v>
      </c>
      <c r="D23" s="19">
        <v>0.8125</v>
      </c>
      <c r="E23" s="20">
        <v>16.5</v>
      </c>
      <c r="F23" s="19">
        <v>1.375</v>
      </c>
      <c r="G23" s="19">
        <v>2.5</v>
      </c>
      <c r="H23" s="19">
        <v>1.4375</v>
      </c>
      <c r="I23" s="20">
        <v>5.5</v>
      </c>
      <c r="J23" s="19">
        <v>3.5</v>
      </c>
      <c r="K23" s="123">
        <f t="shared" si="0"/>
        <v>5.75</v>
      </c>
      <c r="L23" s="281">
        <f t="shared" si="1"/>
        <v>1.7526000026639521</v>
      </c>
      <c r="M23" s="281">
        <f t="shared" si="2"/>
        <v>182.30009542145311</v>
      </c>
      <c r="N23">
        <v>122.5</v>
      </c>
    </row>
    <row r="24" spans="2:14" x14ac:dyDescent="0.2">
      <c r="B24" s="191" t="s">
        <v>1253</v>
      </c>
      <c r="C24" s="22">
        <v>18</v>
      </c>
      <c r="D24" s="21">
        <v>0.75</v>
      </c>
      <c r="E24" s="22">
        <v>16.5</v>
      </c>
      <c r="F24" s="21">
        <v>1.25</v>
      </c>
      <c r="G24" s="21">
        <v>2.375</v>
      </c>
      <c r="H24" s="21">
        <v>1.4375</v>
      </c>
      <c r="I24" s="22">
        <v>5.5</v>
      </c>
      <c r="J24" s="21">
        <v>3.5</v>
      </c>
      <c r="K24" s="320">
        <f t="shared" si="0"/>
        <v>5.75</v>
      </c>
      <c r="L24" s="340">
        <f t="shared" si="1"/>
        <v>1.7526000026639521</v>
      </c>
      <c r="M24" s="340">
        <f t="shared" si="2"/>
        <v>171.13886508952743</v>
      </c>
      <c r="N24">
        <v>115</v>
      </c>
    </row>
    <row r="25" spans="2:14" x14ac:dyDescent="0.2">
      <c r="B25" s="314"/>
      <c r="C25" s="322"/>
      <c r="D25" s="322"/>
      <c r="E25" s="322"/>
      <c r="F25" s="322"/>
      <c r="G25" s="322"/>
      <c r="H25" s="322"/>
      <c r="I25" s="322"/>
      <c r="J25" s="322"/>
      <c r="K25" s="322"/>
      <c r="L25" s="322"/>
      <c r="M25" s="319"/>
    </row>
    <row r="26" spans="2:14" x14ac:dyDescent="0.2">
      <c r="B26" s="159" t="s">
        <v>1713</v>
      </c>
      <c r="C26" s="160">
        <v>18.6875</v>
      </c>
      <c r="D26" s="135">
        <v>1</v>
      </c>
      <c r="E26" s="160">
        <v>12.25</v>
      </c>
      <c r="F26" s="135">
        <v>1.75</v>
      </c>
      <c r="G26" s="135">
        <v>2.625</v>
      </c>
      <c r="H26" s="135"/>
      <c r="I26" s="160"/>
      <c r="J26" s="135"/>
      <c r="K26" s="123">
        <f t="shared" ref="K26:K34" si="3">((C26-(F26*1))*2+(E26*2)+(F26*2))*12/144</f>
        <v>5.15625</v>
      </c>
      <c r="L26" s="281">
        <f t="shared" ref="L26:L34" si="4">K26*3.2808399*0.09290304</f>
        <v>1.5716250023888703</v>
      </c>
      <c r="M26" s="281">
        <f t="shared" si="2"/>
        <v>190.48499766486529</v>
      </c>
      <c r="N26">
        <v>128</v>
      </c>
    </row>
    <row r="27" spans="2:14" x14ac:dyDescent="0.2">
      <c r="B27" s="18" t="s">
        <v>1714</v>
      </c>
      <c r="C27" s="20">
        <v>18.5625</v>
      </c>
      <c r="D27" s="19">
        <v>0.875</v>
      </c>
      <c r="E27" s="20">
        <v>12.125</v>
      </c>
      <c r="F27" s="135">
        <v>1.5625</v>
      </c>
      <c r="G27" s="133">
        <v>2.5</v>
      </c>
      <c r="H27" s="133"/>
      <c r="I27" s="134"/>
      <c r="J27" s="133"/>
      <c r="K27" s="123">
        <f t="shared" si="3"/>
        <v>5.114583333333333</v>
      </c>
      <c r="L27" s="281">
        <f t="shared" si="4"/>
        <v>1.558925002369566</v>
      </c>
      <c r="M27" s="281">
        <f t="shared" si="2"/>
        <v>172.62702913378416</v>
      </c>
      <c r="N27">
        <v>116</v>
      </c>
    </row>
    <row r="28" spans="2:14" x14ac:dyDescent="0.2">
      <c r="B28" s="18" t="s">
        <v>1254</v>
      </c>
      <c r="C28" s="20">
        <v>18.375</v>
      </c>
      <c r="D28" s="19">
        <v>0.8125</v>
      </c>
      <c r="E28" s="20">
        <v>12.125</v>
      </c>
      <c r="F28" s="19">
        <v>1.375</v>
      </c>
      <c r="G28" s="19">
        <v>2.3125</v>
      </c>
      <c r="H28" s="19">
        <v>1.25</v>
      </c>
      <c r="I28" s="20">
        <v>5.5</v>
      </c>
      <c r="J28" s="19">
        <v>3.5</v>
      </c>
      <c r="K28" s="123">
        <f t="shared" si="3"/>
        <v>5.083333333333333</v>
      </c>
      <c r="L28" s="281">
        <f t="shared" si="4"/>
        <v>1.5494000023550882</v>
      </c>
      <c r="M28" s="281">
        <f t="shared" si="2"/>
        <v>156.25722464695983</v>
      </c>
      <c r="N28">
        <v>105</v>
      </c>
    </row>
    <row r="29" spans="2:14" x14ac:dyDescent="0.2">
      <c r="B29" s="18" t="s">
        <v>1255</v>
      </c>
      <c r="C29" s="20">
        <v>18.25</v>
      </c>
      <c r="D29" s="19">
        <v>0.75</v>
      </c>
      <c r="E29" s="20">
        <v>12.125</v>
      </c>
      <c r="F29" s="19">
        <v>1.25</v>
      </c>
      <c r="G29" s="133">
        <v>2.1875</v>
      </c>
      <c r="H29" s="133">
        <v>1.1875</v>
      </c>
      <c r="I29" s="134">
        <v>5.5</v>
      </c>
      <c r="J29" s="133">
        <v>3.5</v>
      </c>
      <c r="K29" s="123">
        <f t="shared" si="3"/>
        <v>5.0625</v>
      </c>
      <c r="L29" s="281">
        <f t="shared" si="4"/>
        <v>1.5430500023454361</v>
      </c>
      <c r="M29" s="281">
        <f t="shared" si="2"/>
        <v>144.35191229290572</v>
      </c>
      <c r="N29">
        <v>97</v>
      </c>
    </row>
    <row r="30" spans="2:14" x14ac:dyDescent="0.2">
      <c r="B30" s="18" t="s">
        <v>1256</v>
      </c>
      <c r="C30" s="20">
        <v>18.125</v>
      </c>
      <c r="D30" s="19">
        <v>0.75</v>
      </c>
      <c r="E30" s="20">
        <v>12.125</v>
      </c>
      <c r="F30" s="19">
        <v>1.1875</v>
      </c>
      <c r="G30" s="19">
        <v>2.125</v>
      </c>
      <c r="H30" s="19">
        <v>1.1875</v>
      </c>
      <c r="I30" s="20">
        <v>5.5</v>
      </c>
      <c r="J30" s="19">
        <v>3.25</v>
      </c>
      <c r="K30" s="123">
        <f t="shared" si="3"/>
        <v>5.041666666666667</v>
      </c>
      <c r="L30" s="281">
        <f t="shared" si="4"/>
        <v>1.5367000023357844</v>
      </c>
      <c r="M30" s="281">
        <f t="shared" si="2"/>
        <v>135.42292802736517</v>
      </c>
      <c r="N30">
        <v>91</v>
      </c>
    </row>
    <row r="31" spans="2:14" x14ac:dyDescent="0.2">
      <c r="B31" s="18" t="s">
        <v>1257</v>
      </c>
      <c r="C31" s="20">
        <v>18.125</v>
      </c>
      <c r="D31" s="19">
        <v>0.6875</v>
      </c>
      <c r="E31" s="20">
        <v>12</v>
      </c>
      <c r="F31" s="19">
        <v>1.125</v>
      </c>
      <c r="G31" s="133">
        <v>2</v>
      </c>
      <c r="H31" s="133">
        <v>1.1875</v>
      </c>
      <c r="I31" s="134">
        <v>5.5</v>
      </c>
      <c r="J31" s="133">
        <v>3.25</v>
      </c>
      <c r="K31" s="123">
        <f t="shared" si="3"/>
        <v>5.020833333333333</v>
      </c>
      <c r="L31" s="281">
        <f t="shared" si="4"/>
        <v>1.5303500023261318</v>
      </c>
      <c r="M31" s="281">
        <f t="shared" si="2"/>
        <v>126.49394376182461</v>
      </c>
      <c r="N31">
        <v>85</v>
      </c>
    </row>
    <row r="32" spans="2:14" x14ac:dyDescent="0.2">
      <c r="B32" s="18" t="s">
        <v>1258</v>
      </c>
      <c r="C32" s="20">
        <v>18</v>
      </c>
      <c r="D32" s="19">
        <v>0.625</v>
      </c>
      <c r="E32" s="20">
        <v>12</v>
      </c>
      <c r="F32" s="19">
        <v>1</v>
      </c>
      <c r="G32" s="19">
        <v>1.9375</v>
      </c>
      <c r="H32" s="19">
        <v>1.125</v>
      </c>
      <c r="I32" s="20">
        <v>5.5</v>
      </c>
      <c r="J32" s="19">
        <v>3.25</v>
      </c>
      <c r="K32" s="123">
        <f t="shared" si="3"/>
        <v>5</v>
      </c>
      <c r="L32" s="281">
        <f t="shared" si="4"/>
        <v>1.5240000023164801</v>
      </c>
      <c r="M32" s="281">
        <f t="shared" si="2"/>
        <v>119.05312354054081</v>
      </c>
      <c r="N32">
        <v>80</v>
      </c>
    </row>
    <row r="33" spans="2:14" x14ac:dyDescent="0.2">
      <c r="B33" s="18" t="s">
        <v>1259</v>
      </c>
      <c r="C33" s="20">
        <v>17.875</v>
      </c>
      <c r="D33" s="19">
        <v>0.625</v>
      </c>
      <c r="E33" s="20">
        <v>12</v>
      </c>
      <c r="F33" s="19">
        <v>0.9375</v>
      </c>
      <c r="G33" s="133">
        <v>1.875</v>
      </c>
      <c r="H33" s="133">
        <v>1.125</v>
      </c>
      <c r="I33" s="134">
        <v>5.5</v>
      </c>
      <c r="J33" s="133">
        <v>3</v>
      </c>
      <c r="K33" s="123">
        <f t="shared" si="3"/>
        <v>4.979166666666667</v>
      </c>
      <c r="L33" s="281">
        <f t="shared" si="4"/>
        <v>1.5176500023068284</v>
      </c>
      <c r="M33" s="281">
        <f t="shared" si="2"/>
        <v>111.61230331925701</v>
      </c>
      <c r="N33">
        <v>75</v>
      </c>
    </row>
    <row r="34" spans="2:14" x14ac:dyDescent="0.2">
      <c r="B34" s="191" t="s">
        <v>1260</v>
      </c>
      <c r="C34" s="22">
        <v>17.75</v>
      </c>
      <c r="D34" s="21">
        <v>0.625</v>
      </c>
      <c r="E34" s="22">
        <v>12</v>
      </c>
      <c r="F34" s="21">
        <v>0.8125</v>
      </c>
      <c r="G34" s="21">
        <v>1.6875</v>
      </c>
      <c r="H34" s="21">
        <v>1.125</v>
      </c>
      <c r="I34" s="22">
        <v>5.5</v>
      </c>
      <c r="J34" s="21">
        <v>3</v>
      </c>
      <c r="K34" s="320">
        <f t="shared" si="3"/>
        <v>4.958333333333333</v>
      </c>
      <c r="L34" s="340">
        <f t="shared" si="4"/>
        <v>1.5113000022971761</v>
      </c>
      <c r="M34" s="340">
        <f t="shared" si="2"/>
        <v>100.4510729873313</v>
      </c>
      <c r="N34">
        <v>67.5</v>
      </c>
    </row>
    <row r="35" spans="2:14" x14ac:dyDescent="0.2">
      <c r="B35" s="314"/>
      <c r="C35" s="322"/>
      <c r="D35" s="322"/>
      <c r="E35" s="322"/>
      <c r="F35" s="322"/>
      <c r="G35" s="322"/>
      <c r="H35" s="322"/>
      <c r="I35" s="322"/>
      <c r="J35" s="322"/>
      <c r="K35" s="322"/>
      <c r="L35" s="322"/>
      <c r="M35" s="319"/>
    </row>
    <row r="36" spans="2:14" x14ac:dyDescent="0.2">
      <c r="B36" s="159" t="s">
        <v>1677</v>
      </c>
      <c r="C36" s="160">
        <v>17.75</v>
      </c>
      <c r="D36" s="135">
        <v>1.1875</v>
      </c>
      <c r="E36" s="160">
        <v>16.125</v>
      </c>
      <c r="F36" s="135">
        <v>2.0625</v>
      </c>
      <c r="G36" s="135">
        <v>2.875</v>
      </c>
      <c r="H36" s="135"/>
      <c r="I36" s="160"/>
      <c r="J36" s="135"/>
      <c r="K36" s="123">
        <f t="shared" ref="K36:K42" si="5">((C36-(F36*1))*2+(E36*2)+(F36*2))*12/144</f>
        <v>5.645833333333333</v>
      </c>
      <c r="L36" s="281">
        <f t="shared" ref="L36:L42" si="6">K36*3.2808399*0.09290304</f>
        <v>1.7208500026156921</v>
      </c>
      <c r="M36" s="281">
        <f t="shared" si="2"/>
        <v>263.4050358334465</v>
      </c>
      <c r="N36">
        <v>177</v>
      </c>
    </row>
    <row r="37" spans="2:14" x14ac:dyDescent="0.2">
      <c r="B37" s="18" t="s">
        <v>1676</v>
      </c>
      <c r="C37" s="20">
        <v>17.5625</v>
      </c>
      <c r="D37" s="19">
        <v>1.0625</v>
      </c>
      <c r="E37" s="20">
        <v>16</v>
      </c>
      <c r="F37" s="19">
        <v>1.875</v>
      </c>
      <c r="G37" s="19">
        <v>2.6875</v>
      </c>
      <c r="H37" s="19"/>
      <c r="I37" s="20"/>
      <c r="J37" s="19"/>
      <c r="K37" s="123">
        <f t="shared" si="5"/>
        <v>5.59375</v>
      </c>
      <c r="L37" s="281">
        <f t="shared" si="6"/>
        <v>1.7049750025915622</v>
      </c>
      <c r="M37" s="281">
        <f t="shared" si="2"/>
        <v>236.61808303682483</v>
      </c>
      <c r="N37">
        <v>159</v>
      </c>
    </row>
    <row r="38" spans="2:14" x14ac:dyDescent="0.2">
      <c r="B38" s="18" t="s">
        <v>1675</v>
      </c>
      <c r="C38" s="20">
        <v>17.4375</v>
      </c>
      <c r="D38" s="19">
        <v>1</v>
      </c>
      <c r="E38" s="20">
        <v>15.875</v>
      </c>
      <c r="F38" s="19">
        <v>1.75</v>
      </c>
      <c r="G38" s="19">
        <v>2.5625</v>
      </c>
      <c r="H38" s="19"/>
      <c r="I38" s="20"/>
      <c r="J38" s="19"/>
      <c r="K38" s="123">
        <f t="shared" si="5"/>
        <v>5.552083333333333</v>
      </c>
      <c r="L38" s="281">
        <f t="shared" si="6"/>
        <v>1.6922750025722582</v>
      </c>
      <c r="M38" s="281">
        <f t="shared" si="2"/>
        <v>216.5278684393586</v>
      </c>
      <c r="N38">
        <v>145.5</v>
      </c>
    </row>
    <row r="39" spans="2:14" x14ac:dyDescent="0.2">
      <c r="B39" s="18" t="s">
        <v>1674</v>
      </c>
      <c r="C39" s="20">
        <v>17.25</v>
      </c>
      <c r="D39" s="19">
        <v>0.875</v>
      </c>
      <c r="E39" s="20">
        <v>15.75</v>
      </c>
      <c r="F39" s="19">
        <v>1.5625</v>
      </c>
      <c r="G39" s="19">
        <v>2.375</v>
      </c>
      <c r="H39" s="19" t="s">
        <v>899</v>
      </c>
      <c r="I39" s="20" t="s">
        <v>899</v>
      </c>
      <c r="J39" s="19" t="s">
        <v>899</v>
      </c>
      <c r="K39" s="123">
        <f t="shared" si="5"/>
        <v>5.5</v>
      </c>
      <c r="L39" s="281">
        <f t="shared" si="6"/>
        <v>1.676400002548128</v>
      </c>
      <c r="M39" s="281">
        <f t="shared" si="2"/>
        <v>195.69357181976395</v>
      </c>
      <c r="N39">
        <v>131.5</v>
      </c>
    </row>
    <row r="40" spans="2:14" x14ac:dyDescent="0.2">
      <c r="B40" s="18" t="s">
        <v>1261</v>
      </c>
      <c r="C40" s="20">
        <v>17.125</v>
      </c>
      <c r="D40" s="19">
        <v>0.8125</v>
      </c>
      <c r="E40" s="20">
        <v>15.875</v>
      </c>
      <c r="F40" s="19">
        <v>1.375</v>
      </c>
      <c r="G40" s="19">
        <v>2.1875</v>
      </c>
      <c r="H40" s="19">
        <v>1.25</v>
      </c>
      <c r="I40" s="20">
        <v>5.5</v>
      </c>
      <c r="J40" s="19">
        <v>3.5</v>
      </c>
      <c r="K40" s="123">
        <f t="shared" si="5"/>
        <v>5.5</v>
      </c>
      <c r="L40" s="281">
        <f t="shared" si="6"/>
        <v>1.676400002548128</v>
      </c>
      <c r="M40" s="281">
        <f t="shared" si="2"/>
        <v>179.32376733293958</v>
      </c>
      <c r="N40">
        <v>120.5</v>
      </c>
    </row>
    <row r="41" spans="2:14" x14ac:dyDescent="0.2">
      <c r="B41" s="18" t="s">
        <v>1262</v>
      </c>
      <c r="C41" s="20">
        <v>17</v>
      </c>
      <c r="D41" s="133">
        <v>0.75</v>
      </c>
      <c r="E41" s="134">
        <v>15.75</v>
      </c>
      <c r="F41" s="133">
        <v>1.25</v>
      </c>
      <c r="G41" s="133">
        <v>2.0625</v>
      </c>
      <c r="H41" s="133">
        <v>1.1875</v>
      </c>
      <c r="I41" s="134">
        <v>5.5</v>
      </c>
      <c r="J41" s="133">
        <v>3.5</v>
      </c>
      <c r="K41" s="123">
        <f t="shared" si="5"/>
        <v>5.458333333333333</v>
      </c>
      <c r="L41" s="281">
        <f t="shared" si="6"/>
        <v>1.6637000025288242</v>
      </c>
      <c r="M41" s="281">
        <f t="shared" si="2"/>
        <v>164.44212689037198</v>
      </c>
      <c r="N41">
        <v>110.5</v>
      </c>
    </row>
    <row r="42" spans="2:14" x14ac:dyDescent="0.2">
      <c r="B42" s="191" t="s">
        <v>1263</v>
      </c>
      <c r="C42" s="22">
        <v>16.875</v>
      </c>
      <c r="D42" s="21">
        <v>0.6875</v>
      </c>
      <c r="E42" s="22">
        <v>15.75</v>
      </c>
      <c r="F42" s="21">
        <v>1.125</v>
      </c>
      <c r="G42" s="21">
        <v>1.9375</v>
      </c>
      <c r="H42" s="21">
        <v>1.125</v>
      </c>
      <c r="I42" s="22">
        <v>5.5</v>
      </c>
      <c r="J42" s="21">
        <v>3.25</v>
      </c>
      <c r="K42" s="320">
        <f t="shared" si="5"/>
        <v>5.4375</v>
      </c>
      <c r="L42" s="340">
        <f t="shared" si="6"/>
        <v>1.6573500025191721</v>
      </c>
      <c r="M42" s="340">
        <f t="shared" si="2"/>
        <v>149.56048644780438</v>
      </c>
      <c r="N42">
        <v>100.5</v>
      </c>
    </row>
    <row r="43" spans="2:14" x14ac:dyDescent="0.2">
      <c r="B43" s="314"/>
      <c r="C43" s="322"/>
      <c r="D43" s="322"/>
      <c r="E43" s="322"/>
      <c r="F43" s="322"/>
      <c r="G43" s="322"/>
      <c r="H43" s="322"/>
      <c r="I43" s="322"/>
      <c r="J43" s="322"/>
      <c r="K43" s="322"/>
      <c r="L43" s="322"/>
      <c r="M43" s="319"/>
    </row>
    <row r="44" spans="2:14" x14ac:dyDescent="0.2">
      <c r="B44" s="159" t="s">
        <v>1715</v>
      </c>
      <c r="C44" s="160">
        <v>16.9375</v>
      </c>
      <c r="D44" s="135">
        <v>0.6875</v>
      </c>
      <c r="E44" s="160">
        <v>11.5</v>
      </c>
      <c r="F44" s="135">
        <v>1.25</v>
      </c>
      <c r="G44" s="135">
        <v>2.0625</v>
      </c>
      <c r="H44" s="135"/>
      <c r="I44" s="160"/>
      <c r="J44" s="135"/>
      <c r="K44" s="123">
        <f>((C44-(F44*1))*2+(E44*2)+(F44*2))*12/144</f>
        <v>4.739583333333333</v>
      </c>
      <c r="L44" s="281">
        <f>K44*3.2808399*0.09290304</f>
        <v>1.44462500219583</v>
      </c>
      <c r="M44" s="281">
        <f t="shared" si="2"/>
        <v>125.74986173969621</v>
      </c>
      <c r="N44">
        <v>84.5</v>
      </c>
    </row>
    <row r="45" spans="2:14" x14ac:dyDescent="0.2">
      <c r="B45" s="18" t="s">
        <v>1264</v>
      </c>
      <c r="C45" s="160">
        <v>16.75</v>
      </c>
      <c r="D45" s="133">
        <v>0.625</v>
      </c>
      <c r="E45" s="134">
        <v>11.625</v>
      </c>
      <c r="F45" s="133">
        <v>1.0625</v>
      </c>
      <c r="G45" s="133">
        <v>1.875</v>
      </c>
      <c r="H45" s="133">
        <v>1.125</v>
      </c>
      <c r="I45" s="134">
        <v>5.5</v>
      </c>
      <c r="J45" s="133">
        <v>3.25</v>
      </c>
      <c r="K45" s="123">
        <f>((C45-(F45*1))*2+(E45*2)+(F45*2))*12/144</f>
        <v>4.729166666666667</v>
      </c>
      <c r="L45" s="281">
        <f>K45*3.2808399*0.09290304</f>
        <v>1.4414500021910044</v>
      </c>
      <c r="M45" s="281">
        <f t="shared" si="2"/>
        <v>113.10046736351376</v>
      </c>
      <c r="N45">
        <v>76</v>
      </c>
    </row>
    <row r="46" spans="2:14" x14ac:dyDescent="0.2">
      <c r="B46" s="18" t="s">
        <v>1265</v>
      </c>
      <c r="C46" s="20">
        <v>16.625</v>
      </c>
      <c r="D46" s="19">
        <v>0.625</v>
      </c>
      <c r="E46" s="20">
        <v>11.5</v>
      </c>
      <c r="F46" s="19">
        <v>0.9375</v>
      </c>
      <c r="G46" s="19">
        <v>1.75</v>
      </c>
      <c r="H46" s="19">
        <v>1.0625</v>
      </c>
      <c r="I46" s="20">
        <v>5.5</v>
      </c>
      <c r="J46" s="19">
        <v>3</v>
      </c>
      <c r="K46" s="123">
        <f>((C46-(F46*1))*2+(E46*2)+(F46*2))*12/144</f>
        <v>4.6875</v>
      </c>
      <c r="L46" s="281">
        <f>K46*3.2808399*0.09290304</f>
        <v>1.4287500021717001</v>
      </c>
      <c r="M46" s="281">
        <f t="shared" si="2"/>
        <v>104.91556512010158</v>
      </c>
      <c r="N46">
        <v>70.5</v>
      </c>
    </row>
    <row r="47" spans="2:14" x14ac:dyDescent="0.2">
      <c r="B47" s="18" t="s">
        <v>1266</v>
      </c>
      <c r="C47" s="20">
        <v>16.5</v>
      </c>
      <c r="D47" s="133">
        <v>0.5625</v>
      </c>
      <c r="E47" s="134">
        <v>11.5</v>
      </c>
      <c r="F47" s="133">
        <v>0.875</v>
      </c>
      <c r="G47" s="133">
        <v>1.6875</v>
      </c>
      <c r="H47" s="133">
        <v>1.0625</v>
      </c>
      <c r="I47" s="134">
        <v>5.5</v>
      </c>
      <c r="J47" s="133">
        <v>3</v>
      </c>
      <c r="K47" s="123">
        <f>((C47-(F47*1))*2+(E47*2)+(F47*2))*12/144</f>
        <v>4.666666666666667</v>
      </c>
      <c r="L47" s="281">
        <f>K47*3.2808399*0.09290304</f>
        <v>1.4224000021620482</v>
      </c>
      <c r="M47" s="281">
        <f t="shared" si="2"/>
        <v>96.730662876689408</v>
      </c>
      <c r="N47">
        <v>65</v>
      </c>
    </row>
    <row r="48" spans="2:14" x14ac:dyDescent="0.2">
      <c r="B48" s="191" t="s">
        <v>1267</v>
      </c>
      <c r="C48" s="22">
        <v>16.375</v>
      </c>
      <c r="D48" s="21">
        <v>0.5625</v>
      </c>
      <c r="E48" s="22">
        <v>11.5</v>
      </c>
      <c r="F48" s="21">
        <v>0.75</v>
      </c>
      <c r="G48" s="21">
        <v>1.5625</v>
      </c>
      <c r="H48" s="21">
        <v>1.0625</v>
      </c>
      <c r="I48" s="22">
        <v>5.5</v>
      </c>
      <c r="J48" s="21">
        <v>2.75</v>
      </c>
      <c r="K48" s="320">
        <f>((C48-(F48*1))*2+(E48*2)+(F48*2))*12/144</f>
        <v>4.645833333333333</v>
      </c>
      <c r="L48" s="340">
        <f>K48*3.2808399*0.09290304</f>
        <v>1.4160500021523961</v>
      </c>
      <c r="M48" s="340">
        <f t="shared" si="2"/>
        <v>87.801678611148844</v>
      </c>
      <c r="N48">
        <v>59</v>
      </c>
    </row>
    <row r="49" spans="2:14" x14ac:dyDescent="0.2">
      <c r="B49" s="314"/>
      <c r="C49" s="322"/>
      <c r="D49" s="322"/>
      <c r="E49" s="322"/>
      <c r="F49" s="322"/>
      <c r="G49" s="322"/>
      <c r="H49" s="322"/>
      <c r="I49" s="322"/>
      <c r="J49" s="322"/>
      <c r="K49" s="322"/>
      <c r="L49" s="322"/>
      <c r="M49" s="319"/>
    </row>
    <row r="50" spans="2:14" x14ac:dyDescent="0.2">
      <c r="B50" s="159" t="s">
        <v>1678</v>
      </c>
      <c r="C50" s="160">
        <v>15.625</v>
      </c>
      <c r="D50" s="135">
        <v>0.8125</v>
      </c>
      <c r="E50" s="160">
        <v>15</v>
      </c>
      <c r="F50" s="135">
        <v>1.5</v>
      </c>
      <c r="G50" s="135">
        <v>2.25</v>
      </c>
      <c r="H50" s="135" t="s">
        <v>899</v>
      </c>
      <c r="I50" s="160" t="s">
        <v>899</v>
      </c>
      <c r="J50" s="135" t="s">
        <v>899</v>
      </c>
      <c r="K50" s="123">
        <f>((C50-(F50*1))*2+(E50*2)+(F50*2))*12/144</f>
        <v>5.104166666666667</v>
      </c>
      <c r="L50" s="281">
        <f>K50*3.2808399*0.09290304</f>
        <v>1.5557500023647404</v>
      </c>
      <c r="M50" s="281">
        <f t="shared" si="2"/>
        <v>174.85927520016932</v>
      </c>
      <c r="N50">
        <v>117.5</v>
      </c>
    </row>
    <row r="51" spans="2:14" x14ac:dyDescent="0.2">
      <c r="B51" s="18" t="s">
        <v>1268</v>
      </c>
      <c r="C51" s="20">
        <v>15.5</v>
      </c>
      <c r="D51" s="19">
        <v>0.75</v>
      </c>
      <c r="E51" s="20">
        <v>15.125</v>
      </c>
      <c r="F51" s="19">
        <v>1.3125</v>
      </c>
      <c r="G51" s="19">
        <v>2.125</v>
      </c>
      <c r="H51" s="19">
        <v>1.125</v>
      </c>
      <c r="I51" s="20">
        <v>5.5</v>
      </c>
      <c r="J51" s="19">
        <v>3.5</v>
      </c>
      <c r="K51" s="123">
        <f>((C51-(F51*1))*2+(E51*2)+(F51*2))*12/144</f>
        <v>5.104166666666667</v>
      </c>
      <c r="L51" s="281">
        <f>K51*3.2808399*0.09290304</f>
        <v>1.5557500023647404</v>
      </c>
      <c r="M51" s="281">
        <f t="shared" si="2"/>
        <v>157.00130666908819</v>
      </c>
      <c r="N51">
        <v>105.5</v>
      </c>
    </row>
    <row r="52" spans="2:14" x14ac:dyDescent="0.2">
      <c r="B52" s="18" t="s">
        <v>1269</v>
      </c>
      <c r="C52" s="20">
        <v>15.375</v>
      </c>
      <c r="D52" s="133">
        <v>0.6875</v>
      </c>
      <c r="E52" s="134">
        <v>15</v>
      </c>
      <c r="F52" s="133">
        <v>1.1875</v>
      </c>
      <c r="G52" s="133">
        <v>1.9375</v>
      </c>
      <c r="H52" s="133">
        <v>1.0625</v>
      </c>
      <c r="I52" s="134">
        <v>5.5</v>
      </c>
      <c r="J52" s="133">
        <v>3.25</v>
      </c>
      <c r="K52" s="123">
        <f>((C52-(F52*1))*2+(E52*2)+(F52*2))*12/144</f>
        <v>5.0625</v>
      </c>
      <c r="L52" s="281">
        <f>K52*3.2808399*0.09290304</f>
        <v>1.5430500023454361</v>
      </c>
      <c r="M52" s="281">
        <f t="shared" si="2"/>
        <v>142.11966622652056</v>
      </c>
      <c r="N52">
        <v>95.5</v>
      </c>
    </row>
    <row r="53" spans="2:14" x14ac:dyDescent="0.2">
      <c r="B53" s="191" t="s">
        <v>1270</v>
      </c>
      <c r="C53" s="22">
        <v>15.25</v>
      </c>
      <c r="D53" s="21">
        <v>0.625</v>
      </c>
      <c r="E53" s="22">
        <v>15</v>
      </c>
      <c r="F53" s="21">
        <v>1.0625</v>
      </c>
      <c r="G53" s="21">
        <v>1.875</v>
      </c>
      <c r="H53" s="21">
        <v>1.0625</v>
      </c>
      <c r="I53" s="22">
        <v>5.5</v>
      </c>
      <c r="J53" s="21">
        <v>3.25</v>
      </c>
      <c r="K53" s="320">
        <f>((C53-(F53*1))*2+(E53*2)+(F53*2))*12/144</f>
        <v>5.041666666666667</v>
      </c>
      <c r="L53" s="340">
        <f>K53*3.2808399*0.09290304</f>
        <v>1.5367000023357844</v>
      </c>
      <c r="M53" s="340">
        <f t="shared" si="2"/>
        <v>128.72618982820975</v>
      </c>
      <c r="N53">
        <v>86.5</v>
      </c>
    </row>
    <row r="54" spans="2:14" x14ac:dyDescent="0.2">
      <c r="B54" s="314"/>
      <c r="C54" s="322"/>
      <c r="D54" s="322"/>
      <c r="E54" s="322"/>
      <c r="F54" s="322"/>
      <c r="G54" s="322"/>
      <c r="H54" s="322"/>
      <c r="I54" s="322"/>
      <c r="J54" s="322"/>
      <c r="K54" s="322"/>
      <c r="L54" s="322"/>
      <c r="M54" s="319"/>
    </row>
    <row r="55" spans="2:14" x14ac:dyDescent="0.2">
      <c r="B55" s="159" t="s">
        <v>1716</v>
      </c>
      <c r="C55" s="160">
        <v>15.3125</v>
      </c>
      <c r="D55" s="135">
        <v>0.625</v>
      </c>
      <c r="E55" s="160">
        <v>10.5</v>
      </c>
      <c r="F55" s="135">
        <v>1.1875</v>
      </c>
      <c r="G55" s="135">
        <v>2</v>
      </c>
      <c r="H55" s="135"/>
      <c r="I55" s="160"/>
      <c r="J55" s="135"/>
      <c r="K55" s="123">
        <f t="shared" ref="K55:K60" si="7">((C55-(F55*1))*2+(E55*2)+(F55*2))*12/144</f>
        <v>4.302083333333333</v>
      </c>
      <c r="L55" s="281">
        <f t="shared" ref="L55:L60" si="8">K55*3.2808399*0.09290304</f>
        <v>1.3112750019931381</v>
      </c>
      <c r="M55" s="281">
        <f t="shared" si="2"/>
        <v>110.12413927500025</v>
      </c>
      <c r="N55">
        <v>74</v>
      </c>
    </row>
    <row r="56" spans="2:14" x14ac:dyDescent="0.2">
      <c r="B56" s="159" t="s">
        <v>1271</v>
      </c>
      <c r="C56" s="160">
        <v>15.125</v>
      </c>
      <c r="D56" s="133">
        <v>0.625</v>
      </c>
      <c r="E56" s="134">
        <v>10.5</v>
      </c>
      <c r="F56" s="133">
        <v>1</v>
      </c>
      <c r="G56" s="133">
        <v>1.75</v>
      </c>
      <c r="H56" s="133">
        <v>1.0625</v>
      </c>
      <c r="I56" s="134">
        <v>5.5</v>
      </c>
      <c r="J56" s="133">
        <v>3</v>
      </c>
      <c r="K56" s="123">
        <f t="shared" si="7"/>
        <v>4.270833333333333</v>
      </c>
      <c r="L56" s="281">
        <f t="shared" si="8"/>
        <v>1.3017500019786601</v>
      </c>
      <c r="M56" s="281">
        <f t="shared" si="2"/>
        <v>98.218826920946171</v>
      </c>
      <c r="N56">
        <v>66</v>
      </c>
    </row>
    <row r="57" spans="2:14" x14ac:dyDescent="0.2">
      <c r="B57" s="18" t="s">
        <v>1272</v>
      </c>
      <c r="C57" s="20">
        <v>15.125</v>
      </c>
      <c r="D57" s="19">
        <v>0.5625</v>
      </c>
      <c r="E57" s="20">
        <v>10.5</v>
      </c>
      <c r="F57" s="19">
        <v>0.9375</v>
      </c>
      <c r="G57" s="19">
        <v>1.6875</v>
      </c>
      <c r="H57" s="19">
        <v>1</v>
      </c>
      <c r="I57" s="20">
        <v>5.5</v>
      </c>
      <c r="J57" s="19">
        <v>3</v>
      </c>
      <c r="K57" s="123">
        <f t="shared" si="7"/>
        <v>4.270833333333333</v>
      </c>
      <c r="L57" s="281">
        <f t="shared" si="8"/>
        <v>1.3017500019786601</v>
      </c>
      <c r="M57" s="281">
        <f t="shared" si="2"/>
        <v>92.266170743919119</v>
      </c>
      <c r="N57">
        <v>62</v>
      </c>
    </row>
    <row r="58" spans="2:14" x14ac:dyDescent="0.2">
      <c r="B58" s="18" t="s">
        <v>1273</v>
      </c>
      <c r="C58" s="20">
        <v>15</v>
      </c>
      <c r="D58" s="133">
        <v>0.5625</v>
      </c>
      <c r="E58" s="134">
        <v>10.5</v>
      </c>
      <c r="F58" s="133">
        <v>0.875</v>
      </c>
      <c r="G58" s="133">
        <v>1.625</v>
      </c>
      <c r="H58" s="133">
        <v>1</v>
      </c>
      <c r="I58" s="134">
        <v>5.5</v>
      </c>
      <c r="J58" s="133">
        <v>3</v>
      </c>
      <c r="K58" s="123">
        <f t="shared" si="7"/>
        <v>4.25</v>
      </c>
      <c r="L58" s="281">
        <f t="shared" si="8"/>
        <v>1.2954000019690082</v>
      </c>
      <c r="M58" s="281">
        <f t="shared" si="2"/>
        <v>86.313514566892081</v>
      </c>
      <c r="N58">
        <v>58</v>
      </c>
    </row>
    <row r="59" spans="2:14" x14ac:dyDescent="0.2">
      <c r="B59" s="18" t="s">
        <v>1274</v>
      </c>
      <c r="C59" s="20">
        <v>14.875</v>
      </c>
      <c r="D59" s="19">
        <v>0.5625</v>
      </c>
      <c r="E59" s="20">
        <v>10.5</v>
      </c>
      <c r="F59" s="19">
        <v>0.75</v>
      </c>
      <c r="G59" s="19">
        <v>1.5625</v>
      </c>
      <c r="H59" s="19">
        <v>1</v>
      </c>
      <c r="I59" s="20">
        <v>5.5</v>
      </c>
      <c r="J59" s="19">
        <v>3</v>
      </c>
      <c r="K59" s="123">
        <f t="shared" si="7"/>
        <v>4.229166666666667</v>
      </c>
      <c r="L59" s="281">
        <f t="shared" si="8"/>
        <v>1.2890500019593563</v>
      </c>
      <c r="M59" s="281">
        <f t="shared" si="2"/>
        <v>80.360858389865044</v>
      </c>
      <c r="N59">
        <v>54</v>
      </c>
    </row>
    <row r="60" spans="2:14" x14ac:dyDescent="0.2">
      <c r="B60" s="191" t="s">
        <v>1275</v>
      </c>
      <c r="C60" s="22">
        <v>14.875</v>
      </c>
      <c r="D60" s="21">
        <v>0.5</v>
      </c>
      <c r="E60" s="22">
        <v>10.5</v>
      </c>
      <c r="F60" s="21">
        <v>0.6875</v>
      </c>
      <c r="G60" s="21">
        <v>1.4375</v>
      </c>
      <c r="H60" s="21">
        <v>1</v>
      </c>
      <c r="I60" s="22">
        <v>5.5</v>
      </c>
      <c r="J60" s="21">
        <v>2.75</v>
      </c>
      <c r="K60" s="320">
        <f t="shared" si="7"/>
        <v>4.229166666666667</v>
      </c>
      <c r="L60" s="340">
        <f t="shared" si="8"/>
        <v>1.2890500019593563</v>
      </c>
      <c r="M60" s="340">
        <f t="shared" si="2"/>
        <v>73.664120190709625</v>
      </c>
      <c r="N60">
        <v>49.5</v>
      </c>
    </row>
    <row r="61" spans="2:14" x14ac:dyDescent="0.2">
      <c r="B61" s="314"/>
      <c r="C61" s="322"/>
      <c r="D61" s="322"/>
      <c r="E61" s="322"/>
      <c r="F61" s="322"/>
      <c r="G61" s="322"/>
      <c r="H61" s="322"/>
      <c r="I61" s="322"/>
      <c r="J61" s="322"/>
      <c r="K61" s="322"/>
      <c r="L61" s="322"/>
      <c r="M61" s="319"/>
    </row>
    <row r="62" spans="2:14" x14ac:dyDescent="0.2">
      <c r="B62" s="159" t="s">
        <v>1680</v>
      </c>
      <c r="C62" s="160">
        <v>14.1875</v>
      </c>
      <c r="D62" s="133">
        <v>0.8125</v>
      </c>
      <c r="E62" s="134">
        <v>14.125</v>
      </c>
      <c r="F62" s="133">
        <v>1.5</v>
      </c>
      <c r="G62" s="133">
        <v>2.1875</v>
      </c>
      <c r="H62" s="133"/>
      <c r="I62" s="134"/>
      <c r="J62" s="133"/>
      <c r="K62" s="123">
        <f>((C62-(F62*1))*2+(E62*2)+(F62*2))*12/144</f>
        <v>4.71875</v>
      </c>
      <c r="L62" s="281">
        <f>K62*3.2808399*0.09290304</f>
        <v>1.4382750021861781</v>
      </c>
      <c r="M62" s="281">
        <f t="shared" si="2"/>
        <v>161.46579880185848</v>
      </c>
      <c r="N62">
        <v>108.5</v>
      </c>
    </row>
    <row r="63" spans="2:14" x14ac:dyDescent="0.2">
      <c r="B63" s="18" t="s">
        <v>1679</v>
      </c>
      <c r="C63" s="20">
        <v>14.0625</v>
      </c>
      <c r="D63" s="19">
        <v>0.75</v>
      </c>
      <c r="E63" s="20">
        <v>14</v>
      </c>
      <c r="F63" s="19">
        <v>1.3125</v>
      </c>
      <c r="G63" s="19">
        <v>2.0625</v>
      </c>
      <c r="H63" s="19" t="s">
        <v>899</v>
      </c>
      <c r="I63" s="20" t="s">
        <v>899</v>
      </c>
      <c r="J63" s="19" t="s">
        <v>899</v>
      </c>
      <c r="K63" s="123">
        <f>((C63-(F63*1))*2+(E63*2)+(F63*2))*12/144</f>
        <v>4.677083333333333</v>
      </c>
      <c r="L63" s="281">
        <f>K63*3.2808399*0.09290304</f>
        <v>1.4255750021668741</v>
      </c>
      <c r="M63" s="281">
        <f t="shared" si="2"/>
        <v>144.35191229290572</v>
      </c>
      <c r="N63">
        <v>97</v>
      </c>
    </row>
    <row r="64" spans="2:14" x14ac:dyDescent="0.2">
      <c r="B64" s="18" t="s">
        <v>1276</v>
      </c>
      <c r="C64" s="20">
        <v>13.875</v>
      </c>
      <c r="D64" s="133">
        <v>0.75</v>
      </c>
      <c r="E64" s="134">
        <v>14.125</v>
      </c>
      <c r="F64" s="133">
        <v>1.1875</v>
      </c>
      <c r="G64" s="133">
        <v>1.875</v>
      </c>
      <c r="H64" s="133">
        <v>1.0625</v>
      </c>
      <c r="I64" s="134">
        <v>5.5</v>
      </c>
      <c r="J64" s="133">
        <v>3.25</v>
      </c>
      <c r="K64" s="123">
        <f>((C64-(F64*1))*2+(E64*2)+(F64*2))*12/144</f>
        <v>4.666666666666667</v>
      </c>
      <c r="L64" s="281">
        <f>K64*3.2808399*0.09290304</f>
        <v>1.4224000021620482</v>
      </c>
      <c r="M64" s="281">
        <f t="shared" si="2"/>
        <v>132.44659993885165</v>
      </c>
      <c r="N64">
        <v>89</v>
      </c>
    </row>
    <row r="65" spans="2:14" x14ac:dyDescent="0.2">
      <c r="B65" s="18" t="s">
        <v>1277</v>
      </c>
      <c r="C65" s="20">
        <v>13.75</v>
      </c>
      <c r="D65" s="19">
        <v>0.6875</v>
      </c>
      <c r="E65" s="20">
        <v>14</v>
      </c>
      <c r="F65" s="19">
        <v>1.0625</v>
      </c>
      <c r="G65" s="19">
        <v>1.8125</v>
      </c>
      <c r="H65" s="19">
        <v>1</v>
      </c>
      <c r="I65" s="20">
        <v>5.5</v>
      </c>
      <c r="J65" s="19">
        <v>3.25</v>
      </c>
      <c r="K65" s="123">
        <f>((C65-(F65*1))*2+(E65*2)+(F65*2))*12/144</f>
        <v>4.625</v>
      </c>
      <c r="L65" s="281">
        <f>K65*3.2808399*0.09290304</f>
        <v>1.4097000021427442</v>
      </c>
      <c r="M65" s="281">
        <f t="shared" si="2"/>
        <v>119.79720556266919</v>
      </c>
      <c r="N65">
        <v>80.5</v>
      </c>
    </row>
    <row r="66" spans="2:14" x14ac:dyDescent="0.2">
      <c r="B66" s="191" t="s">
        <v>1278</v>
      </c>
      <c r="C66" s="22">
        <v>13.75</v>
      </c>
      <c r="D66" s="21">
        <v>0.625</v>
      </c>
      <c r="E66" s="22">
        <v>14</v>
      </c>
      <c r="F66" s="21">
        <v>1</v>
      </c>
      <c r="G66" s="21">
        <v>1.6875</v>
      </c>
      <c r="H66" s="21">
        <v>1</v>
      </c>
      <c r="I66" s="22">
        <v>5.5</v>
      </c>
      <c r="J66" s="21">
        <v>3</v>
      </c>
      <c r="K66" s="320">
        <f>((C66-(F66*1))*2+(E66*2)+(F66*2))*12/144</f>
        <v>4.625</v>
      </c>
      <c r="L66" s="340">
        <f>K66*3.2808399*0.09290304</f>
        <v>1.4097000021427442</v>
      </c>
      <c r="M66" s="340">
        <f t="shared" si="2"/>
        <v>108.63597523074348</v>
      </c>
      <c r="N66">
        <v>73</v>
      </c>
    </row>
    <row r="67" spans="2:14" x14ac:dyDescent="0.2">
      <c r="B67" s="314"/>
      <c r="C67" s="322"/>
      <c r="D67" s="322"/>
      <c r="E67" s="322"/>
      <c r="F67" s="322"/>
      <c r="G67" s="322"/>
      <c r="H67" s="322"/>
      <c r="I67" s="322"/>
      <c r="J67" s="322"/>
      <c r="K67" s="322"/>
      <c r="L67" s="322"/>
      <c r="M67" s="319"/>
    </row>
    <row r="68" spans="2:14" x14ac:dyDescent="0.2">
      <c r="B68" s="159" t="s">
        <v>1717</v>
      </c>
      <c r="C68" s="160">
        <v>13.8125</v>
      </c>
      <c r="D68" s="133">
        <v>0.625</v>
      </c>
      <c r="E68" s="134">
        <v>10</v>
      </c>
      <c r="F68" s="133">
        <v>1.125</v>
      </c>
      <c r="G68" s="133">
        <v>1.8125</v>
      </c>
      <c r="H68" s="133"/>
      <c r="I68" s="134"/>
      <c r="J68" s="133"/>
      <c r="K68" s="123">
        <f>((C68-(F68*1))*2+(E68*2)+(F68*2))*12/144</f>
        <v>3.96875</v>
      </c>
      <c r="L68" s="281">
        <f>K68*3.2808399*0.09290304</f>
        <v>1.2096750018387061</v>
      </c>
      <c r="M68" s="281">
        <f t="shared" si="2"/>
        <v>95.986580854561026</v>
      </c>
      <c r="N68">
        <v>64.5</v>
      </c>
    </row>
    <row r="69" spans="2:14" x14ac:dyDescent="0.2">
      <c r="B69" s="18" t="s">
        <v>1279</v>
      </c>
      <c r="C69" s="20">
        <v>13.625</v>
      </c>
      <c r="D69" s="19">
        <v>0.5625</v>
      </c>
      <c r="E69" s="20">
        <v>10.125</v>
      </c>
      <c r="F69" s="19">
        <v>0.9375</v>
      </c>
      <c r="G69" s="19">
        <v>1.625</v>
      </c>
      <c r="H69" s="19">
        <v>0.9375</v>
      </c>
      <c r="I69" s="20">
        <v>5.5</v>
      </c>
      <c r="J69" s="19">
        <v>3</v>
      </c>
      <c r="K69" s="123">
        <f>((C69-(F69*1))*2+(E69*2)+(F69*2))*12/144</f>
        <v>3.9583333333333335</v>
      </c>
      <c r="L69" s="281">
        <f>K69*3.2808399*0.09290304</f>
        <v>1.2065000018338801</v>
      </c>
      <c r="M69" s="281">
        <f t="shared" si="2"/>
        <v>84.825350522635318</v>
      </c>
      <c r="N69">
        <v>57</v>
      </c>
    </row>
    <row r="70" spans="2:14" x14ac:dyDescent="0.2">
      <c r="B70" s="18" t="s">
        <v>1280</v>
      </c>
      <c r="C70" s="20">
        <v>13.5</v>
      </c>
      <c r="D70" s="133">
        <v>0.5</v>
      </c>
      <c r="E70" s="134">
        <v>10</v>
      </c>
      <c r="F70" s="133">
        <v>0.8125</v>
      </c>
      <c r="G70" s="133">
        <v>1.5625</v>
      </c>
      <c r="H70" s="133">
        <v>0.9375</v>
      </c>
      <c r="I70" s="134">
        <v>5.5</v>
      </c>
      <c r="J70" s="133">
        <v>3</v>
      </c>
      <c r="K70" s="123">
        <f>((C70-(F70*1))*2+(E70*2)+(F70*2))*12/144</f>
        <v>3.9166666666666665</v>
      </c>
      <c r="L70" s="281">
        <f>K70*3.2808399*0.09290304</f>
        <v>1.193800001814576</v>
      </c>
      <c r="M70" s="281">
        <f t="shared" si="2"/>
        <v>75.896366257094769</v>
      </c>
      <c r="N70">
        <v>51</v>
      </c>
    </row>
    <row r="71" spans="2:14" x14ac:dyDescent="0.2">
      <c r="B71" s="18" t="s">
        <v>1281</v>
      </c>
      <c r="C71" s="20">
        <v>13.5</v>
      </c>
      <c r="D71" s="19">
        <v>0.5</v>
      </c>
      <c r="E71" s="20">
        <v>10</v>
      </c>
      <c r="F71" s="19">
        <v>0.75</v>
      </c>
      <c r="G71" s="19">
        <v>1.4375</v>
      </c>
      <c r="H71" s="19">
        <v>0.9375</v>
      </c>
      <c r="I71" s="20">
        <v>5.5</v>
      </c>
      <c r="J71" s="19">
        <v>2.75</v>
      </c>
      <c r="K71" s="123">
        <f>((C71-(F71*1))*2+(E71*2)+(F71*2))*12/144</f>
        <v>3.9166666666666665</v>
      </c>
      <c r="L71" s="281">
        <f>K71*3.2808399*0.09290304</f>
        <v>1.193800001814576</v>
      </c>
      <c r="M71" s="281">
        <f t="shared" si="2"/>
        <v>69.943710080067731</v>
      </c>
      <c r="N71">
        <v>47</v>
      </c>
    </row>
    <row r="72" spans="2:14" x14ac:dyDescent="0.2">
      <c r="B72" s="191" t="s">
        <v>1282</v>
      </c>
      <c r="C72" s="22">
        <v>13.375</v>
      </c>
      <c r="D72" s="21">
        <v>0.4375</v>
      </c>
      <c r="E72" s="22">
        <v>10</v>
      </c>
      <c r="F72" s="21">
        <v>0.625</v>
      </c>
      <c r="G72" s="21">
        <v>1.375</v>
      </c>
      <c r="H72" s="21">
        <v>0.9375</v>
      </c>
      <c r="I72" s="22">
        <v>5.5</v>
      </c>
      <c r="J72" s="21">
        <v>2.75</v>
      </c>
      <c r="K72" s="320">
        <f>((C72-(F72*1))*2+(E72*2)+(F72*2))*12/144</f>
        <v>3.8958333333333335</v>
      </c>
      <c r="L72" s="340">
        <f>K72*3.2808399*0.09290304</f>
        <v>1.1874500018049241</v>
      </c>
      <c r="M72" s="340">
        <f t="shared" si="2"/>
        <v>62.502889858783924</v>
      </c>
      <c r="N72">
        <v>42</v>
      </c>
    </row>
    <row r="73" spans="2:14" x14ac:dyDescent="0.2">
      <c r="B73" s="314"/>
      <c r="C73" s="322"/>
      <c r="D73" s="322"/>
      <c r="E73" s="322"/>
      <c r="F73" s="322"/>
      <c r="G73" s="322"/>
      <c r="H73" s="322"/>
      <c r="I73" s="322"/>
      <c r="J73" s="322"/>
      <c r="K73" s="322"/>
      <c r="L73" s="322"/>
      <c r="M73" s="319"/>
    </row>
    <row r="74" spans="2:14" x14ac:dyDescent="0.2">
      <c r="B74" s="159" t="s">
        <v>1681</v>
      </c>
      <c r="C74" s="160">
        <v>12.625</v>
      </c>
      <c r="D74" s="135">
        <v>0.75</v>
      </c>
      <c r="E74" s="160">
        <v>12.875</v>
      </c>
      <c r="F74" s="135">
        <v>1.3125</v>
      </c>
      <c r="G74" s="135">
        <v>2.125</v>
      </c>
      <c r="H74" s="135" t="s">
        <v>899</v>
      </c>
      <c r="I74" s="160" t="s">
        <v>899</v>
      </c>
      <c r="J74" s="135" t="s">
        <v>899</v>
      </c>
      <c r="K74" s="123">
        <f t="shared" ref="K74:K79" si="9">((C74-(F74*1))*2+(E74*2)+(F74*2))*12/144</f>
        <v>4.25</v>
      </c>
      <c r="L74" s="281">
        <f t="shared" ref="L74:L79" si="10">K74*3.2808399*0.09290304</f>
        <v>1.2954000019690082</v>
      </c>
      <c r="M74" s="281">
        <f t="shared" si="2"/>
        <v>130.95843589459488</v>
      </c>
      <c r="N74">
        <v>88</v>
      </c>
    </row>
    <row r="75" spans="2:14" x14ac:dyDescent="0.2">
      <c r="B75" s="18" t="s">
        <v>1283</v>
      </c>
      <c r="C75" s="20">
        <v>12.5</v>
      </c>
      <c r="D75" s="133">
        <v>0.6875</v>
      </c>
      <c r="E75" s="134">
        <v>13</v>
      </c>
      <c r="F75" s="133">
        <v>1.25</v>
      </c>
      <c r="G75" s="133">
        <v>2</v>
      </c>
      <c r="H75" s="133">
        <v>1.0625</v>
      </c>
      <c r="I75" s="134">
        <v>5.5</v>
      </c>
      <c r="J75" s="133">
        <v>3.25</v>
      </c>
      <c r="K75" s="123">
        <f t="shared" si="9"/>
        <v>4.25</v>
      </c>
      <c r="L75" s="281">
        <f t="shared" si="10"/>
        <v>1.2954000019690082</v>
      </c>
      <c r="M75" s="281">
        <f t="shared" si="2"/>
        <v>120.54128758479756</v>
      </c>
      <c r="N75">
        <v>81</v>
      </c>
    </row>
    <row r="76" spans="2:14" x14ac:dyDescent="0.2">
      <c r="B76" s="18" t="s">
        <v>1284</v>
      </c>
      <c r="C76" s="20">
        <v>12.375</v>
      </c>
      <c r="D76" s="19">
        <v>0.625</v>
      </c>
      <c r="E76" s="20">
        <v>12.875</v>
      </c>
      <c r="F76" s="19">
        <v>1.0625</v>
      </c>
      <c r="G76" s="19">
        <v>1.875</v>
      </c>
      <c r="H76" s="19">
        <v>1.0625</v>
      </c>
      <c r="I76" s="20">
        <v>5.5</v>
      </c>
      <c r="J76" s="19">
        <v>3.25</v>
      </c>
      <c r="K76" s="123">
        <f t="shared" si="9"/>
        <v>4.208333333333333</v>
      </c>
      <c r="L76" s="281">
        <f t="shared" si="10"/>
        <v>1.2827000019497041</v>
      </c>
      <c r="M76" s="281">
        <f t="shared" si="2"/>
        <v>108.63597523074348</v>
      </c>
      <c r="N76">
        <v>73</v>
      </c>
    </row>
    <row r="77" spans="2:14" x14ac:dyDescent="0.2">
      <c r="B77" s="18" t="s">
        <v>1285</v>
      </c>
      <c r="C77" s="20">
        <v>12.25</v>
      </c>
      <c r="D77" s="133">
        <v>0.625</v>
      </c>
      <c r="E77" s="134">
        <v>12.875</v>
      </c>
      <c r="F77" s="133">
        <v>0.9375</v>
      </c>
      <c r="G77" s="133">
        <v>1.75</v>
      </c>
      <c r="H77" s="133">
        <v>1.0625</v>
      </c>
      <c r="I77" s="134">
        <v>5.5</v>
      </c>
      <c r="J77" s="133">
        <v>3</v>
      </c>
      <c r="K77" s="123">
        <f t="shared" si="9"/>
        <v>4.1875</v>
      </c>
      <c r="L77" s="281">
        <f t="shared" si="10"/>
        <v>1.2763500019400522</v>
      </c>
      <c r="M77" s="281">
        <f t="shared" si="2"/>
        <v>97.474744898817789</v>
      </c>
      <c r="N77">
        <v>65.5</v>
      </c>
    </row>
    <row r="78" spans="2:14" x14ac:dyDescent="0.2">
      <c r="B78" s="18" t="s">
        <v>1286</v>
      </c>
      <c r="C78" s="20">
        <v>12.125</v>
      </c>
      <c r="D78" s="19">
        <v>0.5625</v>
      </c>
      <c r="E78" s="20">
        <v>12.75</v>
      </c>
      <c r="F78" s="19">
        <v>0.875</v>
      </c>
      <c r="G78" s="19">
        <v>1.625</v>
      </c>
      <c r="H78" s="19">
        <v>1</v>
      </c>
      <c r="I78" s="20">
        <v>5.5</v>
      </c>
      <c r="J78" s="19">
        <v>3</v>
      </c>
      <c r="K78" s="123">
        <f t="shared" si="9"/>
        <v>4.145833333333333</v>
      </c>
      <c r="L78" s="281">
        <f t="shared" si="10"/>
        <v>1.2636500019207482</v>
      </c>
      <c r="M78" s="281">
        <f t="shared" si="2"/>
        <v>87.057596589020463</v>
      </c>
      <c r="N78">
        <v>58.5</v>
      </c>
    </row>
    <row r="79" spans="2:14" x14ac:dyDescent="0.2">
      <c r="B79" s="191" t="s">
        <v>1287</v>
      </c>
      <c r="C79" s="22">
        <v>12</v>
      </c>
      <c r="D79" s="133">
        <v>0.5</v>
      </c>
      <c r="E79" s="134">
        <v>12.75</v>
      </c>
      <c r="F79" s="133">
        <v>0.75</v>
      </c>
      <c r="G79" s="133">
        <v>1.5</v>
      </c>
      <c r="H79" s="133">
        <v>1</v>
      </c>
      <c r="I79" s="134">
        <v>5.5</v>
      </c>
      <c r="J79" s="133">
        <v>2.75</v>
      </c>
      <c r="K79" s="320">
        <f t="shared" si="9"/>
        <v>4.125</v>
      </c>
      <c r="L79" s="340">
        <f t="shared" si="10"/>
        <v>1.2573000019110963</v>
      </c>
      <c r="M79" s="340">
        <f t="shared" si="2"/>
        <v>77.384530301351532</v>
      </c>
      <c r="N79">
        <v>52</v>
      </c>
    </row>
    <row r="80" spans="2:14" x14ac:dyDescent="0.2">
      <c r="B80" s="314"/>
      <c r="C80" s="322"/>
      <c r="D80" s="322"/>
      <c r="E80" s="322"/>
      <c r="F80" s="322"/>
      <c r="G80" s="322"/>
      <c r="H80" s="322"/>
      <c r="I80" s="322"/>
      <c r="J80" s="322"/>
      <c r="K80" s="322"/>
      <c r="L80" s="322"/>
      <c r="M80" s="319"/>
    </row>
    <row r="81" spans="2:14" x14ac:dyDescent="0.2">
      <c r="B81" s="159" t="s">
        <v>1718</v>
      </c>
      <c r="C81" s="160">
        <v>12.25</v>
      </c>
      <c r="D81" s="133">
        <v>0.5625</v>
      </c>
      <c r="E81" s="134">
        <v>9</v>
      </c>
      <c r="F81" s="133">
        <v>1</v>
      </c>
      <c r="G81" s="133">
        <v>1.75</v>
      </c>
      <c r="H81" s="133"/>
      <c r="I81" s="134"/>
      <c r="J81" s="133"/>
      <c r="K81" s="123">
        <f>((C81-(F81*1))*2+(E81*2)+(F81*2))*12/144</f>
        <v>3.5416666666666665</v>
      </c>
      <c r="L81" s="281">
        <f>K81*3.2808399*0.09290304</f>
        <v>1.07950000164084</v>
      </c>
      <c r="M81" s="281">
        <f t="shared" si="2"/>
        <v>76.640448279223136</v>
      </c>
      <c r="N81">
        <v>51.5</v>
      </c>
    </row>
    <row r="82" spans="2:14" x14ac:dyDescent="0.2">
      <c r="B82" s="18" t="s">
        <v>1288</v>
      </c>
      <c r="C82" s="20">
        <v>12.125</v>
      </c>
      <c r="D82" s="19">
        <v>0.5</v>
      </c>
      <c r="E82" s="20">
        <v>9.125</v>
      </c>
      <c r="F82" s="19">
        <v>0.875</v>
      </c>
      <c r="G82" s="19">
        <v>1.625</v>
      </c>
      <c r="H82" s="19">
        <v>1</v>
      </c>
      <c r="I82" s="20">
        <v>5.5</v>
      </c>
      <c r="J82" s="19">
        <v>3</v>
      </c>
      <c r="K82" s="123">
        <f>((C82-(F82*1))*2+(E82*2)+(F82*2))*12/144</f>
        <v>3.5416666666666665</v>
      </c>
      <c r="L82" s="281">
        <f>K82*3.2808399*0.09290304</f>
        <v>1.07950000164084</v>
      </c>
      <c r="M82" s="281">
        <f t="shared" si="2"/>
        <v>69.943710080067731</v>
      </c>
      <c r="N82">
        <v>47</v>
      </c>
    </row>
    <row r="83" spans="2:14" x14ac:dyDescent="0.2">
      <c r="B83" s="18" t="s">
        <v>1289</v>
      </c>
      <c r="C83" s="20">
        <v>12</v>
      </c>
      <c r="D83" s="133">
        <v>0.5</v>
      </c>
      <c r="E83" s="134">
        <v>9</v>
      </c>
      <c r="F83" s="133">
        <v>0.75</v>
      </c>
      <c r="G83" s="133">
        <v>1.5625</v>
      </c>
      <c r="H83" s="133">
        <v>0.9375</v>
      </c>
      <c r="I83" s="134">
        <v>5.5</v>
      </c>
      <c r="J83" s="133">
        <v>3</v>
      </c>
      <c r="K83" s="123">
        <f>((C83-(F83*1))*2+(E83*2)+(F83*2))*12/144</f>
        <v>3.5</v>
      </c>
      <c r="L83" s="281">
        <f>K83*3.2808399*0.09290304</f>
        <v>1.0668000016215362</v>
      </c>
      <c r="M83" s="281">
        <f t="shared" ref="M83:M146" si="11">N83*3.2808399*0.4535924</f>
        <v>62.502889858783924</v>
      </c>
      <c r="N83">
        <v>42</v>
      </c>
    </row>
    <row r="84" spans="2:14" x14ac:dyDescent="0.2">
      <c r="B84" s="18" t="s">
        <v>1290</v>
      </c>
      <c r="C84" s="20">
        <v>12</v>
      </c>
      <c r="D84" s="19">
        <v>0.4375</v>
      </c>
      <c r="E84" s="20">
        <v>9</v>
      </c>
      <c r="F84" s="19">
        <v>0.6875</v>
      </c>
      <c r="G84" s="19">
        <v>1.4375</v>
      </c>
      <c r="H84" s="19">
        <v>0.9375</v>
      </c>
      <c r="I84" s="20">
        <v>5.5</v>
      </c>
      <c r="J84" s="19">
        <v>2.75</v>
      </c>
      <c r="K84" s="123">
        <f>((C84-(F84*1))*2+(E84*2)+(F84*2))*12/144</f>
        <v>3.5</v>
      </c>
      <c r="L84" s="281">
        <f>K84*3.2808399*0.09290304</f>
        <v>1.0668000016215362</v>
      </c>
      <c r="M84" s="281">
        <f t="shared" si="11"/>
        <v>56.550233681756879</v>
      </c>
      <c r="N84">
        <v>38</v>
      </c>
    </row>
    <row r="85" spans="2:14" x14ac:dyDescent="0.2">
      <c r="B85" s="191" t="s">
        <v>1291</v>
      </c>
      <c r="C85" s="22">
        <v>11.875</v>
      </c>
      <c r="D85" s="21">
        <v>0.4375</v>
      </c>
      <c r="E85" s="22">
        <v>9</v>
      </c>
      <c r="F85" s="21">
        <v>0.5625</v>
      </c>
      <c r="G85" s="21">
        <v>1.375</v>
      </c>
      <c r="H85" s="21">
        <v>0.9375</v>
      </c>
      <c r="I85" s="22">
        <v>5.5</v>
      </c>
      <c r="J85" s="21">
        <v>2.75</v>
      </c>
      <c r="K85" s="320">
        <f>((C85-(F85*1))*2+(E85*2)+(F85*2))*12/144</f>
        <v>3.4791666666666665</v>
      </c>
      <c r="L85" s="340">
        <f>K85*3.2808399*0.09290304</f>
        <v>1.0604500016118841</v>
      </c>
      <c r="M85" s="340">
        <f t="shared" si="11"/>
        <v>50.597577504729848</v>
      </c>
      <c r="N85">
        <v>34</v>
      </c>
    </row>
    <row r="86" spans="2:14" x14ac:dyDescent="0.2">
      <c r="B86" s="314"/>
      <c r="C86" s="322"/>
      <c r="D86" s="322"/>
      <c r="E86" s="322"/>
      <c r="F86" s="322"/>
      <c r="G86" s="322"/>
      <c r="H86" s="322"/>
      <c r="I86" s="322"/>
      <c r="J86" s="322"/>
      <c r="K86" s="322"/>
      <c r="L86" s="322"/>
      <c r="M86" s="319"/>
    </row>
    <row r="87" spans="2:14" x14ac:dyDescent="0.2">
      <c r="B87" s="159" t="s">
        <v>1292</v>
      </c>
      <c r="C87" s="160">
        <v>11.875</v>
      </c>
      <c r="D87" s="135">
        <v>0.4375</v>
      </c>
      <c r="E87" s="160">
        <v>7</v>
      </c>
      <c r="F87" s="135">
        <v>0.5625</v>
      </c>
      <c r="G87" s="135">
        <v>1.375</v>
      </c>
      <c r="H87" s="135">
        <v>0.9375</v>
      </c>
      <c r="I87" s="160">
        <v>3.5</v>
      </c>
      <c r="J87" s="135">
        <v>2.75</v>
      </c>
      <c r="K87" s="123">
        <f>((C87-(F87*1))*2+(E87*2)+(F87*2))*12/144</f>
        <v>3.1458333333333335</v>
      </c>
      <c r="L87" s="281">
        <f>K87*3.2808399*0.09290304</f>
        <v>0.95885000145745203</v>
      </c>
      <c r="M87" s="281">
        <f t="shared" si="11"/>
        <v>46.133085371959559</v>
      </c>
      <c r="N87">
        <v>31</v>
      </c>
    </row>
    <row r="88" spans="2:14" x14ac:dyDescent="0.2">
      <c r="B88" s="191" t="s">
        <v>1293</v>
      </c>
      <c r="C88" s="22">
        <v>11.75</v>
      </c>
      <c r="D88" s="21">
        <v>0.375</v>
      </c>
      <c r="E88" s="22">
        <v>7</v>
      </c>
      <c r="F88" s="21">
        <v>0.5</v>
      </c>
      <c r="G88" s="21">
        <v>1.3125</v>
      </c>
      <c r="H88" s="21">
        <v>0.9375</v>
      </c>
      <c r="I88" s="22">
        <v>3.5</v>
      </c>
      <c r="J88" s="21">
        <v>2.75</v>
      </c>
      <c r="K88" s="320">
        <f>((C88-(F88*1))*2+(E88*2)+(F88*2))*12/144</f>
        <v>3.125</v>
      </c>
      <c r="L88" s="340">
        <f>K88*3.2808399*0.09290304</f>
        <v>0.95250000144780012</v>
      </c>
      <c r="M88" s="340">
        <f t="shared" si="11"/>
        <v>40.924511217060903</v>
      </c>
      <c r="N88">
        <v>27.5</v>
      </c>
    </row>
    <row r="89" spans="2:14" x14ac:dyDescent="0.2">
      <c r="B89" s="314"/>
      <c r="C89" s="322"/>
      <c r="D89" s="322"/>
      <c r="E89" s="322"/>
      <c r="F89" s="322"/>
      <c r="G89" s="322"/>
      <c r="H89" s="322"/>
      <c r="I89" s="322"/>
      <c r="J89" s="322"/>
      <c r="K89" s="322"/>
      <c r="L89" s="322"/>
      <c r="M89" s="319"/>
    </row>
    <row r="90" spans="2:14" x14ac:dyDescent="0.2">
      <c r="B90" s="159" t="s">
        <v>1682</v>
      </c>
      <c r="C90" s="160">
        <v>11.25</v>
      </c>
      <c r="D90" s="135">
        <v>0.75</v>
      </c>
      <c r="E90" s="160">
        <v>12.375</v>
      </c>
      <c r="F90" s="135">
        <v>1.375</v>
      </c>
      <c r="G90" s="135">
        <v>2.125</v>
      </c>
      <c r="H90" s="135" t="s">
        <v>899</v>
      </c>
      <c r="I90" s="160" t="s">
        <v>899</v>
      </c>
      <c r="J90" s="135" t="s">
        <v>899</v>
      </c>
      <c r="K90" s="123">
        <f t="shared" ref="K90:K95" si="12">((C90-(F90*1))*2+(E90*2)+(F90*2))*12/144</f>
        <v>3.9375</v>
      </c>
      <c r="L90" s="281">
        <f t="shared" ref="L90:L95" si="13">K90*3.2808399*0.09290304</f>
        <v>1.2001500018242282</v>
      </c>
      <c r="M90" s="281">
        <f t="shared" si="11"/>
        <v>123.5176156733111</v>
      </c>
      <c r="N90">
        <v>83</v>
      </c>
    </row>
    <row r="91" spans="2:14" x14ac:dyDescent="0.2">
      <c r="B91" s="18" t="s">
        <v>1294</v>
      </c>
      <c r="C91" s="20">
        <v>11</v>
      </c>
      <c r="D91" s="133">
        <v>0.75</v>
      </c>
      <c r="E91" s="134">
        <v>12.5</v>
      </c>
      <c r="F91" s="133">
        <v>1.125</v>
      </c>
      <c r="G91" s="133">
        <v>1.875</v>
      </c>
      <c r="H91" s="133">
        <v>1.0625</v>
      </c>
      <c r="I91" s="134">
        <v>5.5</v>
      </c>
      <c r="J91" s="133">
        <v>3.25</v>
      </c>
      <c r="K91" s="123">
        <f t="shared" si="12"/>
        <v>3.9166666666666665</v>
      </c>
      <c r="L91" s="281">
        <f t="shared" si="13"/>
        <v>1.193800001814576</v>
      </c>
      <c r="M91" s="281">
        <f t="shared" si="11"/>
        <v>109.38005725287188</v>
      </c>
      <c r="N91">
        <v>73.5</v>
      </c>
    </row>
    <row r="92" spans="2:14" x14ac:dyDescent="0.2">
      <c r="B92" s="18" t="s">
        <v>1295</v>
      </c>
      <c r="C92" s="20">
        <v>10.875</v>
      </c>
      <c r="D92" s="19">
        <v>0.625</v>
      </c>
      <c r="E92" s="20">
        <v>12.5</v>
      </c>
      <c r="F92" s="19">
        <v>1.0625</v>
      </c>
      <c r="G92" s="19">
        <v>1.8125</v>
      </c>
      <c r="H92" s="19">
        <v>1</v>
      </c>
      <c r="I92" s="20">
        <v>5.5</v>
      </c>
      <c r="J92" s="19">
        <v>3</v>
      </c>
      <c r="K92" s="123">
        <f t="shared" si="12"/>
        <v>3.8958333333333335</v>
      </c>
      <c r="L92" s="281">
        <f t="shared" si="13"/>
        <v>1.1874500018049241</v>
      </c>
      <c r="M92" s="281">
        <f t="shared" si="11"/>
        <v>98.218826920946171</v>
      </c>
      <c r="N92">
        <v>66</v>
      </c>
    </row>
    <row r="93" spans="2:14" x14ac:dyDescent="0.2">
      <c r="B93" s="18" t="s">
        <v>1296</v>
      </c>
      <c r="C93" s="20">
        <v>10.875</v>
      </c>
      <c r="D93" s="133">
        <v>0.625</v>
      </c>
      <c r="E93" s="134">
        <v>12.375</v>
      </c>
      <c r="F93" s="133">
        <v>0.9375</v>
      </c>
      <c r="G93" s="133">
        <v>1.6875</v>
      </c>
      <c r="H93" s="133">
        <v>1</v>
      </c>
      <c r="I93" s="134">
        <v>5.5</v>
      </c>
      <c r="J93" s="133">
        <v>3</v>
      </c>
      <c r="K93" s="123">
        <f t="shared" si="12"/>
        <v>3.875</v>
      </c>
      <c r="L93" s="281">
        <f t="shared" si="13"/>
        <v>1.1811000017952722</v>
      </c>
      <c r="M93" s="281">
        <f t="shared" si="11"/>
        <v>90.77800669966237</v>
      </c>
      <c r="N93">
        <v>61</v>
      </c>
    </row>
    <row r="94" spans="2:14" x14ac:dyDescent="0.2">
      <c r="B94" s="18" t="s">
        <v>1297</v>
      </c>
      <c r="C94" s="20">
        <v>10.75</v>
      </c>
      <c r="D94" s="19">
        <v>0.5625</v>
      </c>
      <c r="E94" s="20">
        <v>12.375</v>
      </c>
      <c r="F94" s="19">
        <v>0.875</v>
      </c>
      <c r="G94" s="19">
        <v>1.625</v>
      </c>
      <c r="H94" s="19">
        <v>0.9375</v>
      </c>
      <c r="I94" s="20">
        <v>5.5</v>
      </c>
      <c r="J94" s="19">
        <v>2.75</v>
      </c>
      <c r="K94" s="123">
        <f t="shared" si="12"/>
        <v>3.8541666666666665</v>
      </c>
      <c r="L94" s="281">
        <f t="shared" si="13"/>
        <v>1.1747500017856201</v>
      </c>
      <c r="M94" s="281">
        <f t="shared" si="11"/>
        <v>82.593104456250188</v>
      </c>
      <c r="N94">
        <v>55.5</v>
      </c>
    </row>
    <row r="95" spans="2:14" x14ac:dyDescent="0.2">
      <c r="B95" s="191" t="s">
        <v>1298</v>
      </c>
      <c r="C95" s="22">
        <v>10.625</v>
      </c>
      <c r="D95" s="21">
        <v>0.5</v>
      </c>
      <c r="E95" s="22">
        <v>12.25</v>
      </c>
      <c r="F95" s="21">
        <v>0.8125</v>
      </c>
      <c r="G95" s="21">
        <v>1.5625</v>
      </c>
      <c r="H95" s="21">
        <v>0.9375</v>
      </c>
      <c r="I95" s="22">
        <v>5.5</v>
      </c>
      <c r="J95" s="21">
        <v>2.75</v>
      </c>
      <c r="K95" s="320">
        <f t="shared" si="12"/>
        <v>3.8125</v>
      </c>
      <c r="L95" s="340">
        <f t="shared" si="13"/>
        <v>1.1620500017663162</v>
      </c>
      <c r="M95" s="340">
        <f t="shared" si="11"/>
        <v>75.152284234966388</v>
      </c>
      <c r="N95">
        <v>50.5</v>
      </c>
    </row>
    <row r="96" spans="2:14" x14ac:dyDescent="0.2">
      <c r="B96" s="314"/>
      <c r="C96" s="322"/>
      <c r="D96" s="322"/>
      <c r="E96" s="322"/>
      <c r="F96" s="322"/>
      <c r="G96" s="322"/>
      <c r="H96" s="322"/>
      <c r="I96" s="322"/>
      <c r="J96" s="322"/>
      <c r="K96" s="322"/>
      <c r="L96" s="322"/>
      <c r="M96" s="319"/>
    </row>
    <row r="97" spans="2:14" x14ac:dyDescent="0.2">
      <c r="B97" s="159" t="s">
        <v>1299</v>
      </c>
      <c r="C97" s="160">
        <v>10.75</v>
      </c>
      <c r="D97" s="135">
        <v>0.5625</v>
      </c>
      <c r="E97" s="160">
        <v>8.375</v>
      </c>
      <c r="F97" s="135">
        <v>0.9375</v>
      </c>
      <c r="G97" s="135">
        <v>1.6875</v>
      </c>
      <c r="H97" s="135">
        <v>1</v>
      </c>
      <c r="I97" s="160">
        <v>5.5</v>
      </c>
      <c r="J97" s="135">
        <v>3</v>
      </c>
      <c r="K97" s="123">
        <f>((C97-(F97*1))*2+(E97*2)+(F97*2))*12/144</f>
        <v>3.1875</v>
      </c>
      <c r="L97" s="281">
        <f>K97*3.2808399*0.09290304</f>
        <v>0.97155000147675608</v>
      </c>
      <c r="M97" s="281">
        <f t="shared" si="11"/>
        <v>69.199628057939336</v>
      </c>
      <c r="N97">
        <v>46.5</v>
      </c>
    </row>
    <row r="98" spans="2:14" x14ac:dyDescent="0.2">
      <c r="B98" s="18" t="s">
        <v>1300</v>
      </c>
      <c r="C98" s="20">
        <v>10.75</v>
      </c>
      <c r="D98" s="133">
        <v>0.5</v>
      </c>
      <c r="E98" s="134">
        <v>8.375</v>
      </c>
      <c r="F98" s="133">
        <v>0.8125</v>
      </c>
      <c r="G98" s="133">
        <v>1.5625</v>
      </c>
      <c r="H98" s="133">
        <v>0.9375</v>
      </c>
      <c r="I98" s="134">
        <v>5.5</v>
      </c>
      <c r="J98" s="133">
        <v>2.75</v>
      </c>
      <c r="K98" s="123">
        <f>((C98-(F98*1))*2+(E98*2)+(F98*2))*12/144</f>
        <v>3.1875</v>
      </c>
      <c r="L98" s="281">
        <f>K98*3.2808399*0.09290304</f>
        <v>0.97155000147675608</v>
      </c>
      <c r="M98" s="281">
        <f t="shared" si="11"/>
        <v>61.758807836655549</v>
      </c>
      <c r="N98">
        <v>41.5</v>
      </c>
    </row>
    <row r="99" spans="2:14" x14ac:dyDescent="0.2">
      <c r="B99" s="18" t="s">
        <v>1301</v>
      </c>
      <c r="C99" s="20">
        <v>10.625</v>
      </c>
      <c r="D99" s="19">
        <v>0.4375</v>
      </c>
      <c r="E99" s="20">
        <v>8.25</v>
      </c>
      <c r="F99" s="19">
        <v>0.75</v>
      </c>
      <c r="G99" s="19">
        <v>1.5</v>
      </c>
      <c r="H99" s="19">
        <v>0.9375</v>
      </c>
      <c r="I99" s="20">
        <v>5.5</v>
      </c>
      <c r="J99" s="19">
        <v>2.75</v>
      </c>
      <c r="K99" s="123">
        <f>((C99-(F99*1))*2+(E99*2)+(F99*2))*12/144</f>
        <v>3.1458333333333335</v>
      </c>
      <c r="L99" s="281">
        <f>K99*3.2808399*0.09290304</f>
        <v>0.95885000145745203</v>
      </c>
      <c r="M99" s="281">
        <f t="shared" si="11"/>
        <v>54.317987615371742</v>
      </c>
      <c r="N99">
        <v>36.5</v>
      </c>
    </row>
    <row r="100" spans="2:14" x14ac:dyDescent="0.2">
      <c r="B100" s="18" t="s">
        <v>1302</v>
      </c>
      <c r="C100" s="20">
        <v>10.625</v>
      </c>
      <c r="D100" s="133">
        <v>0.4375</v>
      </c>
      <c r="E100" s="134">
        <v>8.25</v>
      </c>
      <c r="F100" s="133">
        <v>0.6875</v>
      </c>
      <c r="G100" s="133">
        <v>1.4375</v>
      </c>
      <c r="H100" s="133">
        <v>0.875</v>
      </c>
      <c r="I100" s="134">
        <v>5.5</v>
      </c>
      <c r="J100" s="133">
        <v>2.75</v>
      </c>
      <c r="K100" s="123">
        <f>((C100-(F100*1))*2+(E100*2)+(F100*2))*12/144</f>
        <v>3.1458333333333335</v>
      </c>
      <c r="L100" s="281">
        <f>K100*3.2808399*0.09290304</f>
        <v>0.95885000145745203</v>
      </c>
      <c r="M100" s="281">
        <f t="shared" si="11"/>
        <v>50.597577504729848</v>
      </c>
      <c r="N100">
        <v>34</v>
      </c>
    </row>
    <row r="101" spans="2:14" x14ac:dyDescent="0.2">
      <c r="B101" s="191" t="s">
        <v>1303</v>
      </c>
      <c r="C101" s="22">
        <v>10.5</v>
      </c>
      <c r="D101" s="21">
        <v>0.375</v>
      </c>
      <c r="E101" s="22">
        <v>8.25</v>
      </c>
      <c r="F101" s="21">
        <v>0.625</v>
      </c>
      <c r="G101" s="21">
        <v>1.375</v>
      </c>
      <c r="H101" s="21">
        <v>0.875</v>
      </c>
      <c r="I101" s="22">
        <v>5.5</v>
      </c>
      <c r="J101" s="21">
        <v>2.5</v>
      </c>
      <c r="K101" s="320">
        <f>((C101-(F101*1))*2+(E101*2)+(F101*2))*12/144</f>
        <v>3.125</v>
      </c>
      <c r="L101" s="340">
        <f>K101*3.2808399*0.09290304</f>
        <v>0.95250000144780012</v>
      </c>
      <c r="M101" s="340">
        <f t="shared" si="11"/>
        <v>46.133085371959559</v>
      </c>
      <c r="N101">
        <v>31</v>
      </c>
    </row>
    <row r="102" spans="2:14" x14ac:dyDescent="0.2">
      <c r="B102" s="314"/>
      <c r="C102" s="322"/>
      <c r="D102" s="322"/>
      <c r="E102" s="322"/>
      <c r="F102" s="322"/>
      <c r="G102" s="322"/>
      <c r="H102" s="322"/>
      <c r="I102" s="322"/>
      <c r="J102" s="322"/>
      <c r="K102" s="322"/>
      <c r="L102" s="322"/>
      <c r="M102" s="319"/>
    </row>
    <row r="103" spans="2:14" x14ac:dyDescent="0.2">
      <c r="B103" s="159" t="s">
        <v>1304</v>
      </c>
      <c r="C103" s="160">
        <v>10.5</v>
      </c>
      <c r="D103" s="133">
        <v>0.375</v>
      </c>
      <c r="E103" s="134">
        <v>6.5</v>
      </c>
      <c r="F103" s="133">
        <v>0.625</v>
      </c>
      <c r="G103" s="133">
        <v>1.375</v>
      </c>
      <c r="H103" s="133">
        <v>0.875</v>
      </c>
      <c r="I103" s="134">
        <v>3.5</v>
      </c>
      <c r="J103" s="133">
        <v>2.75</v>
      </c>
      <c r="K103" s="123">
        <f>((C103-(F103*1))*2+(E103*2)+(F103*2))*12/144</f>
        <v>2.8333333333333335</v>
      </c>
      <c r="L103" s="281">
        <f>K103*3.2808399*0.09290304</f>
        <v>0.86360000131267223</v>
      </c>
      <c r="M103" s="281">
        <f t="shared" si="11"/>
        <v>42.412675261317659</v>
      </c>
      <c r="N103">
        <v>28.5</v>
      </c>
    </row>
    <row r="104" spans="2:14" x14ac:dyDescent="0.2">
      <c r="B104" s="18" t="s">
        <v>1305</v>
      </c>
      <c r="C104" s="20">
        <v>10.375</v>
      </c>
      <c r="D104" s="19">
        <v>0.375</v>
      </c>
      <c r="E104" s="20">
        <v>6.5</v>
      </c>
      <c r="F104" s="19">
        <v>0.5625</v>
      </c>
      <c r="G104" s="19">
        <v>1.3125</v>
      </c>
      <c r="H104" s="19">
        <v>0.875</v>
      </c>
      <c r="I104" s="20">
        <v>3.5</v>
      </c>
      <c r="J104" s="19">
        <v>2.5</v>
      </c>
      <c r="K104" s="123">
        <f>((C104-(F104*1))*2+(E104*2)+(F104*2))*12/144</f>
        <v>2.8125</v>
      </c>
      <c r="L104" s="281">
        <f>K104*3.2808399*0.09290304</f>
        <v>0.85725000130302009</v>
      </c>
      <c r="M104" s="281">
        <f t="shared" si="11"/>
        <v>37.204101106419003</v>
      </c>
      <c r="N104">
        <v>25</v>
      </c>
    </row>
    <row r="105" spans="2:14" x14ac:dyDescent="0.2">
      <c r="B105" s="191" t="s">
        <v>1306</v>
      </c>
      <c r="C105" s="22">
        <v>10.375</v>
      </c>
      <c r="D105" s="21">
        <v>0.375</v>
      </c>
      <c r="E105" s="22">
        <v>6.5</v>
      </c>
      <c r="F105" s="21">
        <v>0.4375</v>
      </c>
      <c r="G105" s="21">
        <v>1.1875</v>
      </c>
      <c r="H105" s="21">
        <v>0.875</v>
      </c>
      <c r="I105" s="22">
        <v>3.5</v>
      </c>
      <c r="J105" s="21">
        <v>2.5</v>
      </c>
      <c r="K105" s="320">
        <f>((C105-(F105*1))*2+(E105*2)+(F105*2))*12/144</f>
        <v>2.8125</v>
      </c>
      <c r="L105" s="340">
        <f>K105*3.2808399*0.09290304</f>
        <v>0.85725000130302009</v>
      </c>
      <c r="M105" s="340">
        <f t="shared" si="11"/>
        <v>32.739608973648721</v>
      </c>
      <c r="N105">
        <v>22</v>
      </c>
    </row>
    <row r="106" spans="2:14" x14ac:dyDescent="0.2">
      <c r="B106" s="314"/>
      <c r="C106" s="322"/>
      <c r="D106" s="322"/>
      <c r="E106" s="322"/>
      <c r="F106" s="322"/>
      <c r="G106" s="322"/>
      <c r="H106" s="322"/>
      <c r="I106" s="322"/>
      <c r="J106" s="322"/>
      <c r="K106" s="322"/>
      <c r="L106" s="322"/>
      <c r="M106" s="319"/>
    </row>
    <row r="107" spans="2:14" x14ac:dyDescent="0.2">
      <c r="B107" s="159" t="s">
        <v>1685</v>
      </c>
      <c r="C107" s="160">
        <v>9.75</v>
      </c>
      <c r="D107" s="133">
        <v>0.75</v>
      </c>
      <c r="E107" s="134">
        <v>11.25</v>
      </c>
      <c r="F107" s="133">
        <v>1.3125</v>
      </c>
      <c r="G107" s="133">
        <v>2</v>
      </c>
      <c r="H107" s="133"/>
      <c r="I107" s="134"/>
      <c r="J107" s="133"/>
      <c r="K107" s="123">
        <f t="shared" ref="K107:K113" si="14">((C107-(F107*1))*2+(E107*2)+(F107*2))*12/144</f>
        <v>3.5</v>
      </c>
      <c r="L107" s="281">
        <f t="shared" ref="L107:L113" si="15">K107*3.2808399*0.09290304</f>
        <v>1.0668000016215362</v>
      </c>
      <c r="M107" s="281">
        <f t="shared" si="11"/>
        <v>106.40372916435835</v>
      </c>
      <c r="N107">
        <v>71.5</v>
      </c>
    </row>
    <row r="108" spans="2:14" x14ac:dyDescent="0.2">
      <c r="B108" s="18" t="s">
        <v>1684</v>
      </c>
      <c r="C108" s="20">
        <v>9.625</v>
      </c>
      <c r="D108" s="19">
        <v>0.6875</v>
      </c>
      <c r="E108" s="20">
        <v>11.125</v>
      </c>
      <c r="F108" s="19">
        <v>1.1875</v>
      </c>
      <c r="G108" s="19">
        <v>1.875</v>
      </c>
      <c r="H108" s="19" t="s">
        <v>899</v>
      </c>
      <c r="I108" s="20" t="s">
        <v>899</v>
      </c>
      <c r="J108" s="19" t="s">
        <v>899</v>
      </c>
      <c r="K108" s="123">
        <f t="shared" si="14"/>
        <v>3.4583333333333335</v>
      </c>
      <c r="L108" s="281">
        <f t="shared" si="15"/>
        <v>1.0541000016022322</v>
      </c>
      <c r="M108" s="281">
        <f t="shared" si="11"/>
        <v>96.730662876689408</v>
      </c>
      <c r="N108">
        <v>65</v>
      </c>
    </row>
    <row r="109" spans="2:14" x14ac:dyDescent="0.2">
      <c r="B109" s="18" t="s">
        <v>1307</v>
      </c>
      <c r="C109" s="20">
        <v>9.5</v>
      </c>
      <c r="D109" s="133">
        <v>0.625</v>
      </c>
      <c r="E109" s="134">
        <v>11.25</v>
      </c>
      <c r="F109" s="133">
        <v>1.0625</v>
      </c>
      <c r="G109" s="133">
        <v>1.75</v>
      </c>
      <c r="H109" s="133">
        <v>0.9375</v>
      </c>
      <c r="I109" s="134">
        <v>5.5</v>
      </c>
      <c r="J109" s="133">
        <v>3</v>
      </c>
      <c r="K109" s="123">
        <f t="shared" si="14"/>
        <v>3.4583333333333335</v>
      </c>
      <c r="L109" s="281">
        <f t="shared" si="15"/>
        <v>1.0541000016022322</v>
      </c>
      <c r="M109" s="281">
        <f t="shared" si="11"/>
        <v>88.545760633277226</v>
      </c>
      <c r="N109">
        <v>59.5</v>
      </c>
    </row>
    <row r="110" spans="2:14" x14ac:dyDescent="0.2">
      <c r="B110" s="18" t="s">
        <v>1308</v>
      </c>
      <c r="C110" s="20">
        <v>9.375</v>
      </c>
      <c r="D110" s="19">
        <v>0.5625</v>
      </c>
      <c r="E110" s="20">
        <v>11.25</v>
      </c>
      <c r="F110" s="19">
        <v>0.9375</v>
      </c>
      <c r="G110" s="19">
        <v>1.625</v>
      </c>
      <c r="H110" s="19">
        <v>0.9375</v>
      </c>
      <c r="I110" s="20">
        <v>5.5</v>
      </c>
      <c r="J110" s="19">
        <v>3</v>
      </c>
      <c r="K110" s="123">
        <f t="shared" si="14"/>
        <v>3.4375</v>
      </c>
      <c r="L110" s="281">
        <f t="shared" si="15"/>
        <v>1.0477500015925802</v>
      </c>
      <c r="M110" s="281">
        <f t="shared" si="11"/>
        <v>78.872694345608281</v>
      </c>
      <c r="N110">
        <v>53</v>
      </c>
    </row>
    <row r="111" spans="2:14" x14ac:dyDescent="0.2">
      <c r="B111" s="18" t="s">
        <v>1309</v>
      </c>
      <c r="C111" s="20">
        <v>9.25</v>
      </c>
      <c r="D111" s="133">
        <v>0.5625</v>
      </c>
      <c r="E111" s="134">
        <v>11.125</v>
      </c>
      <c r="F111" s="133">
        <v>0.875</v>
      </c>
      <c r="G111" s="133">
        <v>1.5625</v>
      </c>
      <c r="H111" s="133">
        <v>0.875</v>
      </c>
      <c r="I111" s="134">
        <v>5.5</v>
      </c>
      <c r="J111" s="133">
        <v>2.75</v>
      </c>
      <c r="K111" s="123">
        <f t="shared" si="14"/>
        <v>3.3958333333333335</v>
      </c>
      <c r="L111" s="281">
        <f t="shared" si="15"/>
        <v>1.0350500015732762</v>
      </c>
      <c r="M111" s="281">
        <f t="shared" si="11"/>
        <v>72.175956146452862</v>
      </c>
      <c r="N111">
        <v>48.5</v>
      </c>
    </row>
    <row r="112" spans="2:14" x14ac:dyDescent="0.2">
      <c r="B112" s="18" t="s">
        <v>1310</v>
      </c>
      <c r="C112" s="20">
        <v>9.25</v>
      </c>
      <c r="D112" s="19">
        <v>0.5</v>
      </c>
      <c r="E112" s="20">
        <v>11.125</v>
      </c>
      <c r="F112" s="19">
        <v>0.75</v>
      </c>
      <c r="G112" s="19">
        <v>1.4375</v>
      </c>
      <c r="H112" s="19">
        <v>0.875</v>
      </c>
      <c r="I112" s="20">
        <v>5.5</v>
      </c>
      <c r="J112" s="19">
        <v>2.75</v>
      </c>
      <c r="K112" s="123">
        <f t="shared" si="14"/>
        <v>3.3958333333333335</v>
      </c>
      <c r="L112" s="281">
        <f t="shared" si="15"/>
        <v>1.0350500015732762</v>
      </c>
      <c r="M112" s="281">
        <f t="shared" si="11"/>
        <v>63.99105390304068</v>
      </c>
      <c r="N112">
        <v>43</v>
      </c>
    </row>
    <row r="113" spans="2:14" x14ac:dyDescent="0.2">
      <c r="B113" s="191" t="s">
        <v>1311</v>
      </c>
      <c r="C113" s="22">
        <v>9.125</v>
      </c>
      <c r="D113" s="21">
        <v>0.4375</v>
      </c>
      <c r="E113" s="22">
        <v>11</v>
      </c>
      <c r="F113" s="21">
        <v>0.6875</v>
      </c>
      <c r="G113" s="21">
        <v>1.375</v>
      </c>
      <c r="H113" s="21">
        <v>0.8125</v>
      </c>
      <c r="I113" s="22">
        <v>5.5</v>
      </c>
      <c r="J113" s="21">
        <v>2.75</v>
      </c>
      <c r="K113" s="320">
        <f t="shared" si="14"/>
        <v>3.3541666666666665</v>
      </c>
      <c r="L113" s="340">
        <f t="shared" si="15"/>
        <v>1.0223500015539722</v>
      </c>
      <c r="M113" s="340">
        <f t="shared" si="11"/>
        <v>56.550233681756879</v>
      </c>
      <c r="N113">
        <v>38</v>
      </c>
    </row>
    <row r="114" spans="2:14" x14ac:dyDescent="0.2">
      <c r="B114" s="314"/>
      <c r="C114" s="322"/>
      <c r="D114" s="322"/>
      <c r="E114" s="322"/>
      <c r="F114" s="322"/>
      <c r="G114" s="322"/>
      <c r="H114" s="322"/>
      <c r="I114" s="322"/>
      <c r="J114" s="322"/>
      <c r="K114" s="322"/>
      <c r="L114" s="322"/>
      <c r="M114" s="319"/>
    </row>
    <row r="115" spans="2:14" x14ac:dyDescent="0.2">
      <c r="B115" s="159" t="s">
        <v>1312</v>
      </c>
      <c r="C115" s="160">
        <v>9.25</v>
      </c>
      <c r="D115" s="135">
        <v>0.5</v>
      </c>
      <c r="E115" s="160">
        <v>7.625</v>
      </c>
      <c r="F115" s="135">
        <v>0.8125</v>
      </c>
      <c r="G115" s="135">
        <v>1.5</v>
      </c>
      <c r="H115" s="135">
        <v>0.875</v>
      </c>
      <c r="I115" s="160">
        <v>3.5</v>
      </c>
      <c r="J115" s="135">
        <v>2.75</v>
      </c>
      <c r="K115" s="123">
        <f>((C115-(F115*1))*2+(E115*2)+(F115*2))*12/144</f>
        <v>2.8125</v>
      </c>
      <c r="L115" s="281">
        <f>K115*3.2808399*0.09290304</f>
        <v>0.85725000130302009</v>
      </c>
      <c r="M115" s="281">
        <f t="shared" si="11"/>
        <v>52.829823571114986</v>
      </c>
      <c r="N115">
        <v>35.5</v>
      </c>
    </row>
    <row r="116" spans="2:14" x14ac:dyDescent="0.2">
      <c r="B116" s="18" t="s">
        <v>1313</v>
      </c>
      <c r="C116" s="20">
        <v>9.125</v>
      </c>
      <c r="D116" s="133">
        <v>0.4375</v>
      </c>
      <c r="E116" s="134">
        <v>7.625</v>
      </c>
      <c r="F116" s="133">
        <v>0.75</v>
      </c>
      <c r="G116" s="133">
        <v>1.4375</v>
      </c>
      <c r="H116" s="133">
        <v>0.875</v>
      </c>
      <c r="I116" s="134">
        <v>3.5</v>
      </c>
      <c r="J116" s="133">
        <v>2.75</v>
      </c>
      <c r="K116" s="123">
        <f>((C116-(F116*1))*2+(E116*2)+(F116*2))*12/144</f>
        <v>2.7916666666666665</v>
      </c>
      <c r="L116" s="281">
        <f>K116*3.2808399*0.09290304</f>
        <v>0.85090000129336807</v>
      </c>
      <c r="M116" s="281">
        <f t="shared" si="11"/>
        <v>48.365331438344704</v>
      </c>
      <c r="N116">
        <v>32.5</v>
      </c>
    </row>
    <row r="117" spans="2:14" x14ac:dyDescent="0.2">
      <c r="B117" s="18" t="s">
        <v>1314</v>
      </c>
      <c r="C117" s="20">
        <v>9.125</v>
      </c>
      <c r="D117" s="19">
        <v>0.4375</v>
      </c>
      <c r="E117" s="20">
        <v>7.5</v>
      </c>
      <c r="F117" s="19">
        <v>0.6875</v>
      </c>
      <c r="G117" s="19">
        <v>1.375</v>
      </c>
      <c r="H117" s="19">
        <v>0.8125</v>
      </c>
      <c r="I117" s="20">
        <v>3.5</v>
      </c>
      <c r="J117" s="19">
        <v>2.75</v>
      </c>
      <c r="K117" s="123">
        <f>((C117-(F117*1))*2+(E117*2)+(F117*2))*12/144</f>
        <v>2.7708333333333335</v>
      </c>
      <c r="L117" s="281">
        <f>K117*3.2808399*0.09290304</f>
        <v>0.84455000128371605</v>
      </c>
      <c r="M117" s="281">
        <f t="shared" si="11"/>
        <v>44.644921327702797</v>
      </c>
      <c r="N117">
        <v>30</v>
      </c>
    </row>
    <row r="118" spans="2:14" x14ac:dyDescent="0.2">
      <c r="B118" s="18" t="s">
        <v>1315</v>
      </c>
      <c r="C118" s="20">
        <v>9</v>
      </c>
      <c r="D118" s="133">
        <v>0.375</v>
      </c>
      <c r="E118" s="134">
        <v>7.5</v>
      </c>
      <c r="F118" s="133">
        <v>0.625</v>
      </c>
      <c r="G118" s="133">
        <v>1.3125</v>
      </c>
      <c r="H118" s="133">
        <v>0.8125</v>
      </c>
      <c r="I118" s="134">
        <v>3.5</v>
      </c>
      <c r="J118" s="133">
        <v>2.75</v>
      </c>
      <c r="K118" s="123">
        <f>((C118-(F118*1))*2+(E118*2)+(F118*2))*12/144</f>
        <v>2.75</v>
      </c>
      <c r="L118" s="281">
        <f>K118*3.2808399*0.09290304</f>
        <v>0.83820000127406402</v>
      </c>
      <c r="M118" s="281">
        <f t="shared" si="11"/>
        <v>40.924511217060903</v>
      </c>
      <c r="N118">
        <v>27.5</v>
      </c>
    </row>
    <row r="119" spans="2:14" x14ac:dyDescent="0.2">
      <c r="B119" s="191" t="s">
        <v>1316</v>
      </c>
      <c r="C119" s="22">
        <v>9</v>
      </c>
      <c r="D119" s="21">
        <v>0.375</v>
      </c>
      <c r="E119" s="22">
        <v>7.5</v>
      </c>
      <c r="F119" s="21">
        <v>0.5625</v>
      </c>
      <c r="G119" s="21">
        <v>1.25</v>
      </c>
      <c r="H119" s="21">
        <v>0.8125</v>
      </c>
      <c r="I119" s="22">
        <v>3.5</v>
      </c>
      <c r="J119" s="21">
        <v>2.5</v>
      </c>
      <c r="K119" s="320">
        <f>((C119-(F119*1))*2+(E119*2)+(F119*2))*12/144</f>
        <v>2.75</v>
      </c>
      <c r="L119" s="340">
        <f>K119*3.2808399*0.09290304</f>
        <v>0.83820000127406402</v>
      </c>
      <c r="M119" s="340">
        <f t="shared" si="11"/>
        <v>37.204101106419003</v>
      </c>
      <c r="N119">
        <v>25</v>
      </c>
    </row>
    <row r="120" spans="2:14" x14ac:dyDescent="0.2">
      <c r="B120" s="314"/>
      <c r="C120" s="322"/>
      <c r="D120" s="322"/>
      <c r="E120" s="322"/>
      <c r="F120" s="322"/>
      <c r="G120" s="322"/>
      <c r="H120" s="322"/>
      <c r="I120" s="322"/>
      <c r="J120" s="322"/>
      <c r="K120" s="322"/>
      <c r="L120" s="322"/>
      <c r="M120" s="319"/>
    </row>
    <row r="121" spans="2:14" x14ac:dyDescent="0.2">
      <c r="B121" s="159" t="s">
        <v>1317</v>
      </c>
      <c r="C121" s="160">
        <v>9</v>
      </c>
      <c r="D121" s="133">
        <v>0.375</v>
      </c>
      <c r="E121" s="134">
        <v>6</v>
      </c>
      <c r="F121" s="133">
        <v>0.625</v>
      </c>
      <c r="G121" s="133">
        <v>1.25</v>
      </c>
      <c r="H121" s="133">
        <v>0.8125</v>
      </c>
      <c r="I121" s="134">
        <v>3.5</v>
      </c>
      <c r="J121" s="133">
        <v>2.5</v>
      </c>
      <c r="K121" s="123">
        <f>((C121-(F121*1))*2+(E121*2)+(F121*2))*12/144</f>
        <v>2.5</v>
      </c>
      <c r="L121" s="281">
        <f>K121*3.2808399*0.09290304</f>
        <v>0.76200000115824007</v>
      </c>
      <c r="M121" s="281">
        <f t="shared" si="11"/>
        <v>34.227773017905477</v>
      </c>
      <c r="N121">
        <v>23</v>
      </c>
    </row>
    <row r="122" spans="2:14" x14ac:dyDescent="0.2">
      <c r="B122" s="18" t="s">
        <v>1318</v>
      </c>
      <c r="C122" s="20">
        <v>9</v>
      </c>
      <c r="D122" s="19">
        <v>0.3125</v>
      </c>
      <c r="E122" s="20">
        <v>6</v>
      </c>
      <c r="F122" s="19">
        <v>0.5</v>
      </c>
      <c r="G122" s="19">
        <v>1.1875</v>
      </c>
      <c r="H122" s="19">
        <v>0.8125</v>
      </c>
      <c r="I122" s="20">
        <v>3.5</v>
      </c>
      <c r="J122" s="19">
        <v>2.5</v>
      </c>
      <c r="K122" s="123">
        <f>((C122-(F122*1))*2+(E122*2)+(F122*2))*12/144</f>
        <v>2.5</v>
      </c>
      <c r="L122" s="281">
        <f>K122*3.2808399*0.09290304</f>
        <v>0.76200000115824007</v>
      </c>
      <c r="M122" s="281">
        <f t="shared" si="11"/>
        <v>29.763280885135202</v>
      </c>
      <c r="N122">
        <v>20</v>
      </c>
    </row>
    <row r="123" spans="2:14" x14ac:dyDescent="0.2">
      <c r="B123" s="191" t="s">
        <v>1319</v>
      </c>
      <c r="C123" s="22">
        <v>8.875</v>
      </c>
      <c r="D123" s="133">
        <v>0.3125</v>
      </c>
      <c r="E123" s="134">
        <v>6</v>
      </c>
      <c r="F123" s="133">
        <v>0.4375</v>
      </c>
      <c r="G123" s="133">
        <v>1.125</v>
      </c>
      <c r="H123" s="133">
        <v>0.75</v>
      </c>
      <c r="I123" s="134">
        <v>3.5</v>
      </c>
      <c r="J123" s="133">
        <v>2.5</v>
      </c>
      <c r="K123" s="320">
        <f>((C123-(F123*1))*2+(E123*2)+(F123*2))*12/144</f>
        <v>2.4791666666666665</v>
      </c>
      <c r="L123" s="340">
        <f>K123*3.2808399*0.09290304</f>
        <v>0.75565000114858805</v>
      </c>
      <c r="M123" s="340">
        <f t="shared" si="11"/>
        <v>26.042870774493302</v>
      </c>
      <c r="N123">
        <v>17.5</v>
      </c>
    </row>
    <row r="124" spans="2:14" x14ac:dyDescent="0.2">
      <c r="B124" s="314"/>
      <c r="C124" s="322"/>
      <c r="D124" s="322"/>
      <c r="E124" s="322"/>
      <c r="F124" s="322"/>
      <c r="G124" s="322"/>
      <c r="H124" s="322"/>
      <c r="I124" s="322"/>
      <c r="J124" s="322"/>
      <c r="K124" s="322"/>
      <c r="L124" s="322"/>
      <c r="M124" s="319"/>
    </row>
    <row r="125" spans="2:14" x14ac:dyDescent="0.2">
      <c r="B125" s="159" t="s">
        <v>1320</v>
      </c>
      <c r="C125" s="160">
        <v>8.5</v>
      </c>
      <c r="D125" s="133">
        <v>0.5625</v>
      </c>
      <c r="E125" s="134">
        <v>10.375</v>
      </c>
      <c r="F125" s="133">
        <v>1</v>
      </c>
      <c r="G125" s="133">
        <v>1.6875</v>
      </c>
      <c r="H125" s="133">
        <v>0.9375</v>
      </c>
      <c r="I125" s="134">
        <v>5.5</v>
      </c>
      <c r="J125" s="133">
        <v>3</v>
      </c>
      <c r="K125" s="123">
        <f>((C125-(F125*1))*2+(E125*2)+(F125*2))*12/144</f>
        <v>3.1458333333333335</v>
      </c>
      <c r="L125" s="281">
        <f>K125*3.2808399*0.09290304</f>
        <v>0.95885000145745203</v>
      </c>
      <c r="M125" s="281">
        <f t="shared" si="11"/>
        <v>74.408202212838006</v>
      </c>
      <c r="N125">
        <v>50</v>
      </c>
    </row>
    <row r="126" spans="2:14" x14ac:dyDescent="0.2">
      <c r="B126" s="18" t="s">
        <v>1321</v>
      </c>
      <c r="C126" s="20">
        <v>8.375</v>
      </c>
      <c r="D126" s="19">
        <v>0.5</v>
      </c>
      <c r="E126" s="20">
        <v>10.375</v>
      </c>
      <c r="F126" s="19">
        <v>0.875</v>
      </c>
      <c r="G126" s="19">
        <v>1.5625</v>
      </c>
      <c r="H126" s="19">
        <v>0.875</v>
      </c>
      <c r="I126" s="20">
        <v>5.5</v>
      </c>
      <c r="J126" s="19">
        <v>2.75</v>
      </c>
      <c r="K126" s="123">
        <f>((C126-(F126*1))*2+(E126*2)+(F126*2))*12/144</f>
        <v>3.125</v>
      </c>
      <c r="L126" s="281">
        <f>K126*3.2808399*0.09290304</f>
        <v>0.95250000144780012</v>
      </c>
      <c r="M126" s="281">
        <f t="shared" si="11"/>
        <v>66.223299969425824</v>
      </c>
      <c r="N126">
        <v>44.5</v>
      </c>
    </row>
    <row r="127" spans="2:14" x14ac:dyDescent="0.2">
      <c r="B127" s="18" t="s">
        <v>1322</v>
      </c>
      <c r="C127" s="20">
        <v>8.25</v>
      </c>
      <c r="D127" s="133">
        <v>0.4375</v>
      </c>
      <c r="E127" s="134">
        <v>10.25</v>
      </c>
      <c r="F127" s="133">
        <v>0.75</v>
      </c>
      <c r="G127" s="133">
        <v>1.4375</v>
      </c>
      <c r="H127" s="133">
        <v>0.875</v>
      </c>
      <c r="I127" s="134">
        <v>5.5</v>
      </c>
      <c r="J127" s="133">
        <v>2.75</v>
      </c>
      <c r="K127" s="123">
        <f>((C127-(F127*1))*2+(E127*2)+(F127*2))*12/144</f>
        <v>3.0833333333333335</v>
      </c>
      <c r="L127" s="281">
        <f>K127*3.2808399*0.09290304</f>
        <v>0.93980000142849618</v>
      </c>
      <c r="M127" s="281">
        <f t="shared" si="11"/>
        <v>57.294315703885268</v>
      </c>
      <c r="N127">
        <v>38.5</v>
      </c>
    </row>
    <row r="128" spans="2:14" x14ac:dyDescent="0.2">
      <c r="B128" s="191" t="s">
        <v>1323</v>
      </c>
      <c r="C128" s="22">
        <v>8.125</v>
      </c>
      <c r="D128" s="21">
        <v>0.375</v>
      </c>
      <c r="E128" s="22">
        <v>10.25</v>
      </c>
      <c r="F128" s="21">
        <v>0.6875</v>
      </c>
      <c r="G128" s="21">
        <v>1.375</v>
      </c>
      <c r="H128" s="21">
        <v>0.8125</v>
      </c>
      <c r="I128" s="22">
        <v>5.5</v>
      </c>
      <c r="J128" s="21">
        <v>2.75</v>
      </c>
      <c r="K128" s="320">
        <f>((C128-(F128*1))*2+(E128*2)+(F128*2))*12/144</f>
        <v>3.0625</v>
      </c>
      <c r="L128" s="340">
        <f>K128*3.2808399*0.09290304</f>
        <v>0.93345000141884404</v>
      </c>
      <c r="M128" s="340">
        <f t="shared" si="11"/>
        <v>49.85349548260146</v>
      </c>
      <c r="N128">
        <v>33.5</v>
      </c>
    </row>
    <row r="129" spans="2:14" x14ac:dyDescent="0.2">
      <c r="B129" s="314"/>
      <c r="C129" s="322"/>
      <c r="D129" s="322"/>
      <c r="E129" s="322"/>
      <c r="F129" s="322"/>
      <c r="G129" s="322"/>
      <c r="H129" s="322"/>
      <c r="I129" s="322"/>
      <c r="J129" s="322"/>
      <c r="K129" s="322"/>
      <c r="L129" s="322"/>
      <c r="M129" s="319"/>
    </row>
    <row r="130" spans="2:14" x14ac:dyDescent="0.2">
      <c r="B130" s="159" t="s">
        <v>1324</v>
      </c>
      <c r="C130" s="160">
        <v>8.25</v>
      </c>
      <c r="D130" s="133">
        <v>0.4375</v>
      </c>
      <c r="E130" s="134">
        <v>7.125</v>
      </c>
      <c r="F130" s="133">
        <v>0.6875</v>
      </c>
      <c r="G130" s="133">
        <v>1.375</v>
      </c>
      <c r="H130" s="133">
        <v>0.875</v>
      </c>
      <c r="I130" s="134">
        <v>3.5</v>
      </c>
      <c r="J130" s="133">
        <v>2.75</v>
      </c>
      <c r="K130" s="123">
        <f>((C130-(F130*1))*2+(E130*2)+(F130*2))*12/144</f>
        <v>2.5625</v>
      </c>
      <c r="L130" s="281">
        <f>K130*3.2808399*0.09290304</f>
        <v>0.78105000118719603</v>
      </c>
      <c r="M130" s="281">
        <f t="shared" si="11"/>
        <v>42.412675261317659</v>
      </c>
      <c r="N130">
        <v>28.5</v>
      </c>
    </row>
    <row r="131" spans="2:14" x14ac:dyDescent="0.2">
      <c r="B131" s="18" t="s">
        <v>1325</v>
      </c>
      <c r="C131" s="20">
        <v>8.125</v>
      </c>
      <c r="D131" s="19">
        <v>0.375</v>
      </c>
      <c r="E131" s="20">
        <v>7.125</v>
      </c>
      <c r="F131" s="19">
        <v>0.625</v>
      </c>
      <c r="G131" s="19">
        <v>1.3125</v>
      </c>
      <c r="H131" s="19">
        <v>0.8125</v>
      </c>
      <c r="I131" s="20">
        <v>3.5</v>
      </c>
      <c r="J131" s="19">
        <v>2.75</v>
      </c>
      <c r="K131" s="123">
        <f>((C131-(F131*1))*2+(E131*2)+(F131*2))*12/144</f>
        <v>2.5416666666666665</v>
      </c>
      <c r="L131" s="281">
        <f>K131*3.2808399*0.09290304</f>
        <v>0.77470000117754412</v>
      </c>
      <c r="M131" s="281">
        <f t="shared" si="11"/>
        <v>37.204101106419003</v>
      </c>
      <c r="N131">
        <v>25</v>
      </c>
    </row>
    <row r="132" spans="2:14" x14ac:dyDescent="0.2">
      <c r="B132" s="18" t="s">
        <v>1326</v>
      </c>
      <c r="C132" s="20">
        <v>8.125</v>
      </c>
      <c r="D132" s="133">
        <v>0.375</v>
      </c>
      <c r="E132" s="134">
        <v>7</v>
      </c>
      <c r="F132" s="133">
        <v>0.5625</v>
      </c>
      <c r="G132" s="133">
        <v>1.25</v>
      </c>
      <c r="H132" s="133">
        <v>0.8125</v>
      </c>
      <c r="I132" s="134">
        <v>3.5</v>
      </c>
      <c r="J132" s="133">
        <v>2.5</v>
      </c>
      <c r="K132" s="123">
        <f>((C132-(F132*1))*2+(E132*2)+(F132*2))*12/144</f>
        <v>2.5208333333333335</v>
      </c>
      <c r="L132" s="281">
        <f>K132*3.2808399*0.09290304</f>
        <v>0.7683500011678922</v>
      </c>
      <c r="M132" s="281">
        <f t="shared" si="11"/>
        <v>33.483690995777103</v>
      </c>
      <c r="N132">
        <v>22.5</v>
      </c>
    </row>
    <row r="133" spans="2:14" x14ac:dyDescent="0.2">
      <c r="B133" s="18" t="s">
        <v>1327</v>
      </c>
      <c r="C133" s="20">
        <v>8</v>
      </c>
      <c r="D133" s="19">
        <v>0.3125</v>
      </c>
      <c r="E133" s="20">
        <v>7</v>
      </c>
      <c r="F133" s="19">
        <v>0.5</v>
      </c>
      <c r="G133" s="19">
        <v>1.1875</v>
      </c>
      <c r="H133" s="19">
        <v>0.8125</v>
      </c>
      <c r="I133" s="20">
        <v>3.5</v>
      </c>
      <c r="J133" s="19">
        <v>2.5</v>
      </c>
      <c r="K133" s="123">
        <f>((C133-(F133*1))*2+(E133*2)+(F133*2))*12/144</f>
        <v>2.5</v>
      </c>
      <c r="L133" s="281">
        <f>K133*3.2808399*0.09290304</f>
        <v>0.76200000115824007</v>
      </c>
      <c r="M133" s="281">
        <f t="shared" si="11"/>
        <v>29.763280885135202</v>
      </c>
      <c r="N133">
        <v>20</v>
      </c>
    </row>
    <row r="134" spans="2:14" x14ac:dyDescent="0.2">
      <c r="B134" s="191" t="s">
        <v>1328</v>
      </c>
      <c r="C134" s="22">
        <v>7.875</v>
      </c>
      <c r="D134" s="21">
        <v>0.3125</v>
      </c>
      <c r="E134" s="22">
        <v>7</v>
      </c>
      <c r="F134" s="21">
        <v>0.4375</v>
      </c>
      <c r="G134" s="21">
        <v>1.125</v>
      </c>
      <c r="H134" s="21">
        <v>0.75</v>
      </c>
      <c r="I134" s="22">
        <v>3.5</v>
      </c>
      <c r="J134" s="21">
        <v>2.5</v>
      </c>
      <c r="K134" s="320">
        <f>((C134-(F134*1))*2+(E134*2)+(F134*2))*12/144</f>
        <v>2.4791666666666665</v>
      </c>
      <c r="L134" s="340">
        <f>K134*3.2808399*0.09290304</f>
        <v>0.75565000114858805</v>
      </c>
      <c r="M134" s="340">
        <f t="shared" si="11"/>
        <v>26.78695279662168</v>
      </c>
      <c r="N134">
        <v>18</v>
      </c>
    </row>
    <row r="135" spans="2:14" x14ac:dyDescent="0.2">
      <c r="B135" s="314"/>
      <c r="C135" s="322"/>
      <c r="D135" s="322"/>
      <c r="E135" s="322"/>
      <c r="F135" s="322"/>
      <c r="G135" s="322"/>
      <c r="H135" s="322"/>
      <c r="I135" s="322"/>
      <c r="J135" s="322"/>
      <c r="K135" s="322"/>
      <c r="L135" s="322"/>
      <c r="M135" s="319"/>
    </row>
    <row r="136" spans="2:14" x14ac:dyDescent="0.2">
      <c r="B136" s="159" t="s">
        <v>1329</v>
      </c>
      <c r="C136" s="160">
        <v>8</v>
      </c>
      <c r="D136" s="135">
        <v>0.25</v>
      </c>
      <c r="E136" s="160">
        <v>5.5</v>
      </c>
      <c r="F136" s="135">
        <v>0.4375</v>
      </c>
      <c r="G136" s="135">
        <v>1.125</v>
      </c>
      <c r="H136" s="135">
        <v>0.75</v>
      </c>
      <c r="I136" s="160">
        <v>2.75</v>
      </c>
      <c r="J136" s="135">
        <v>2.5</v>
      </c>
      <c r="K136" s="123">
        <f>((C136-(F136*1))*2+(E136*2)+(F136*2))*12/144</f>
        <v>2.25</v>
      </c>
      <c r="L136" s="281">
        <f>K136*3.2808399*0.09290304</f>
        <v>0.68580000104241612</v>
      </c>
      <c r="M136" s="281">
        <f t="shared" si="11"/>
        <v>23.06654268597978</v>
      </c>
      <c r="N136">
        <v>15.5</v>
      </c>
    </row>
    <row r="137" spans="2:14" x14ac:dyDescent="0.2">
      <c r="B137" s="191" t="s">
        <v>1330</v>
      </c>
      <c r="C137" s="22">
        <v>7.875</v>
      </c>
      <c r="D137" s="133">
        <v>0.25</v>
      </c>
      <c r="E137" s="134">
        <v>5.5</v>
      </c>
      <c r="F137" s="133">
        <v>0.375</v>
      </c>
      <c r="G137" s="133">
        <v>1.0625</v>
      </c>
      <c r="H137" s="133">
        <v>0.75</v>
      </c>
      <c r="I137" s="134">
        <v>2.75</v>
      </c>
      <c r="J137" s="133">
        <v>2.25</v>
      </c>
      <c r="K137" s="320">
        <f>((C137-(F137*1))*2+(E137*2)+(F137*2))*12/144</f>
        <v>2.2291666666666665</v>
      </c>
      <c r="L137" s="340">
        <f>K137*3.2808399*0.09290304</f>
        <v>0.67945000103276409</v>
      </c>
      <c r="M137" s="340">
        <f t="shared" si="11"/>
        <v>19.346132575337883</v>
      </c>
      <c r="N137">
        <v>13</v>
      </c>
    </row>
    <row r="138" spans="2:14" x14ac:dyDescent="0.2">
      <c r="B138" s="314"/>
      <c r="C138" s="322"/>
      <c r="D138" s="322"/>
      <c r="E138" s="322"/>
      <c r="F138" s="322"/>
      <c r="G138" s="322"/>
      <c r="H138" s="322"/>
      <c r="I138" s="322"/>
      <c r="J138" s="322"/>
      <c r="K138" s="322"/>
      <c r="L138" s="322"/>
      <c r="M138" s="319"/>
    </row>
    <row r="139" spans="2:14" x14ac:dyDescent="0.2">
      <c r="B139" s="159" t="s">
        <v>1331</v>
      </c>
      <c r="C139" s="160">
        <v>11.25</v>
      </c>
      <c r="D139" s="133">
        <v>3.0625</v>
      </c>
      <c r="E139" s="134">
        <v>17.875</v>
      </c>
      <c r="F139" s="133">
        <v>4.9375</v>
      </c>
      <c r="G139" s="133">
        <v>5.5625</v>
      </c>
      <c r="H139" s="133">
        <v>2.1875</v>
      </c>
      <c r="I139" s="134" t="s">
        <v>1008</v>
      </c>
      <c r="J139" s="134" t="s">
        <v>1008</v>
      </c>
      <c r="K139" s="123">
        <f t="shared" ref="K139:K157" si="16">((C139-(F139*1))*2+(E139*2)+(F139*2))*12/144</f>
        <v>4.854166666666667</v>
      </c>
      <c r="L139" s="281">
        <f t="shared" ref="L139:L157" si="17">K139*3.2808399*0.09290304</f>
        <v>1.4795500022489163</v>
      </c>
      <c r="M139" s="281">
        <f t="shared" si="11"/>
        <v>543.17987615371749</v>
      </c>
      <c r="N139">
        <v>365</v>
      </c>
    </row>
    <row r="140" spans="2:14" x14ac:dyDescent="0.2">
      <c r="B140" s="18" t="s">
        <v>1332</v>
      </c>
      <c r="C140" s="20">
        <v>10.875</v>
      </c>
      <c r="D140" s="19">
        <v>2.8125</v>
      </c>
      <c r="E140" s="20">
        <v>17.625</v>
      </c>
      <c r="F140" s="19">
        <v>4.5</v>
      </c>
      <c r="G140" s="19">
        <v>5.1875</v>
      </c>
      <c r="H140" s="19">
        <v>2.0625</v>
      </c>
      <c r="I140" s="20" t="s">
        <v>1008</v>
      </c>
      <c r="J140" s="20" t="s">
        <v>1008</v>
      </c>
      <c r="K140" s="123">
        <f t="shared" si="16"/>
        <v>4.75</v>
      </c>
      <c r="L140" s="281">
        <f t="shared" si="17"/>
        <v>1.4478000022006561</v>
      </c>
      <c r="M140" s="281">
        <f t="shared" si="11"/>
        <v>494.81454471537268</v>
      </c>
      <c r="N140">
        <v>332.5</v>
      </c>
    </row>
    <row r="141" spans="2:14" x14ac:dyDescent="0.2">
      <c r="B141" s="18" t="s">
        <v>1333</v>
      </c>
      <c r="C141" s="20">
        <v>10.5</v>
      </c>
      <c r="D141" s="133">
        <v>2.625</v>
      </c>
      <c r="E141" s="134">
        <v>17.375</v>
      </c>
      <c r="F141" s="133">
        <v>4.1875</v>
      </c>
      <c r="G141" s="133">
        <v>4.8125</v>
      </c>
      <c r="H141" s="133">
        <v>1.9375</v>
      </c>
      <c r="I141" s="134" t="s">
        <v>1008</v>
      </c>
      <c r="J141" s="134" t="s">
        <v>1008</v>
      </c>
      <c r="K141" s="123">
        <f t="shared" si="16"/>
        <v>4.645833333333333</v>
      </c>
      <c r="L141" s="281">
        <f t="shared" si="17"/>
        <v>1.4160500021523961</v>
      </c>
      <c r="M141" s="281">
        <f t="shared" si="11"/>
        <v>450.1696233876699</v>
      </c>
      <c r="N141">
        <v>302.5</v>
      </c>
    </row>
    <row r="142" spans="2:14" x14ac:dyDescent="0.2">
      <c r="B142" s="18" t="s">
        <v>1334</v>
      </c>
      <c r="C142" s="20">
        <v>10.125</v>
      </c>
      <c r="D142" s="19">
        <v>2.375</v>
      </c>
      <c r="E142" s="20">
        <v>17.25</v>
      </c>
      <c r="F142" s="19">
        <v>3.8125</v>
      </c>
      <c r="G142" s="19">
        <v>4.5</v>
      </c>
      <c r="H142" s="19">
        <v>1.8125</v>
      </c>
      <c r="I142" s="20" t="s">
        <v>1008</v>
      </c>
      <c r="J142" s="20" t="s">
        <v>1008</v>
      </c>
      <c r="K142" s="123">
        <f t="shared" si="16"/>
        <v>4.5625</v>
      </c>
      <c r="L142" s="281">
        <f t="shared" si="17"/>
        <v>1.3906500021137882</v>
      </c>
      <c r="M142" s="281">
        <f t="shared" si="11"/>
        <v>409.24511217060899</v>
      </c>
      <c r="N142">
        <v>275</v>
      </c>
    </row>
    <row r="143" spans="2:14" x14ac:dyDescent="0.2">
      <c r="B143" s="18" t="s">
        <v>1335</v>
      </c>
      <c r="C143" s="20">
        <v>9.75</v>
      </c>
      <c r="D143" s="133">
        <v>2.1875</v>
      </c>
      <c r="E143" s="134">
        <v>17</v>
      </c>
      <c r="F143" s="133">
        <v>3.5</v>
      </c>
      <c r="G143" s="133">
        <v>4.1875</v>
      </c>
      <c r="H143" s="133">
        <v>1.75</v>
      </c>
      <c r="I143" s="134" t="s">
        <v>1008</v>
      </c>
      <c r="J143" s="134" t="s">
        <v>1008</v>
      </c>
      <c r="K143" s="123">
        <f t="shared" si="16"/>
        <v>4.458333333333333</v>
      </c>
      <c r="L143" s="281">
        <f t="shared" si="17"/>
        <v>1.3589000020655282</v>
      </c>
      <c r="M143" s="281">
        <f t="shared" si="11"/>
        <v>372.04101106419</v>
      </c>
      <c r="N143">
        <v>250</v>
      </c>
    </row>
    <row r="144" spans="2:14" x14ac:dyDescent="0.2">
      <c r="B144" s="18" t="s">
        <v>1336</v>
      </c>
      <c r="C144" s="20">
        <v>9.5</v>
      </c>
      <c r="D144" s="19">
        <v>2</v>
      </c>
      <c r="E144" s="20">
        <v>16.875</v>
      </c>
      <c r="F144" s="19">
        <v>3.1875</v>
      </c>
      <c r="G144" s="19">
        <v>3.875</v>
      </c>
      <c r="H144" s="19">
        <v>1.625</v>
      </c>
      <c r="I144" s="20" t="s">
        <v>1008</v>
      </c>
      <c r="J144" s="20" t="s">
        <v>1008</v>
      </c>
      <c r="K144" s="123">
        <f t="shared" si="16"/>
        <v>4.395833333333333</v>
      </c>
      <c r="L144" s="281">
        <f t="shared" si="17"/>
        <v>1.339850002036572</v>
      </c>
      <c r="M144" s="281">
        <f t="shared" si="11"/>
        <v>338.55732006841293</v>
      </c>
      <c r="N144">
        <v>227.5</v>
      </c>
    </row>
    <row r="145" spans="2:14" x14ac:dyDescent="0.2">
      <c r="B145" s="18" t="s">
        <v>1337</v>
      </c>
      <c r="C145" s="20">
        <v>9.375</v>
      </c>
      <c r="D145" s="133">
        <v>1.875</v>
      </c>
      <c r="E145" s="134">
        <v>16.75</v>
      </c>
      <c r="F145" s="133">
        <v>3.0625</v>
      </c>
      <c r="G145" s="133">
        <v>3.6875</v>
      </c>
      <c r="H145" s="133">
        <v>1.5625</v>
      </c>
      <c r="I145" s="134" t="s">
        <v>1008</v>
      </c>
      <c r="J145" s="134" t="s">
        <v>1008</v>
      </c>
      <c r="K145" s="123">
        <f t="shared" si="16"/>
        <v>4.354166666666667</v>
      </c>
      <c r="L145" s="281">
        <f t="shared" si="17"/>
        <v>1.3271500020172682</v>
      </c>
      <c r="M145" s="281">
        <f t="shared" si="11"/>
        <v>316.97894142668986</v>
      </c>
      <c r="N145">
        <v>213</v>
      </c>
    </row>
    <row r="146" spans="2:14" x14ac:dyDescent="0.2">
      <c r="B146" s="18" t="s">
        <v>1338</v>
      </c>
      <c r="C146" s="20">
        <v>9.125</v>
      </c>
      <c r="D146" s="19">
        <v>1.75</v>
      </c>
      <c r="E146" s="20">
        <v>16.625</v>
      </c>
      <c r="F146" s="19">
        <v>2.875</v>
      </c>
      <c r="G146" s="19">
        <v>3.5</v>
      </c>
      <c r="H146" s="19">
        <v>1.5</v>
      </c>
      <c r="I146" s="20" t="s">
        <v>1008</v>
      </c>
      <c r="J146" s="20" t="s">
        <v>1008</v>
      </c>
      <c r="K146" s="123">
        <f t="shared" si="16"/>
        <v>4.291666666666667</v>
      </c>
      <c r="L146" s="281">
        <f t="shared" si="17"/>
        <v>1.3081000019883122</v>
      </c>
      <c r="M146" s="281">
        <f t="shared" si="11"/>
        <v>296.14464480709523</v>
      </c>
      <c r="N146">
        <v>199</v>
      </c>
    </row>
    <row r="147" spans="2:14" x14ac:dyDescent="0.2">
      <c r="B147" s="18" t="s">
        <v>1339</v>
      </c>
      <c r="C147" s="20">
        <v>9</v>
      </c>
      <c r="D147" s="133">
        <v>1.625</v>
      </c>
      <c r="E147" s="134">
        <v>16.5</v>
      </c>
      <c r="F147" s="133">
        <v>2.6875</v>
      </c>
      <c r="G147" s="133">
        <v>3.3125</v>
      </c>
      <c r="H147" s="133">
        <v>1.4375</v>
      </c>
      <c r="I147" s="134" t="s">
        <v>1008</v>
      </c>
      <c r="J147" s="134" t="s">
        <v>1008</v>
      </c>
      <c r="K147" s="123">
        <f t="shared" si="16"/>
        <v>4.25</v>
      </c>
      <c r="L147" s="281">
        <f t="shared" si="17"/>
        <v>1.2954000019690082</v>
      </c>
      <c r="M147" s="281">
        <f t="shared" ref="M147:M210" si="18">N147*3.2808399*0.4535924</f>
        <v>275.31034818750061</v>
      </c>
      <c r="N147">
        <v>185</v>
      </c>
    </row>
    <row r="148" spans="2:14" x14ac:dyDescent="0.2">
      <c r="B148" s="18" t="s">
        <v>1340</v>
      </c>
      <c r="C148" s="20">
        <v>8.75</v>
      </c>
      <c r="D148" s="19">
        <v>1.5625</v>
      </c>
      <c r="E148" s="20">
        <v>16.375</v>
      </c>
      <c r="F148" s="19">
        <v>2.5</v>
      </c>
      <c r="G148" s="19">
        <v>3.125</v>
      </c>
      <c r="H148" s="19">
        <v>1.375</v>
      </c>
      <c r="I148" s="20" t="s">
        <v>1008</v>
      </c>
      <c r="J148" s="20" t="s">
        <v>1008</v>
      </c>
      <c r="K148" s="123">
        <f t="shared" si="16"/>
        <v>4.1875</v>
      </c>
      <c r="L148" s="281">
        <f t="shared" si="17"/>
        <v>1.2763500019400522</v>
      </c>
      <c r="M148" s="281">
        <f t="shared" si="18"/>
        <v>254.47605156790601</v>
      </c>
      <c r="N148">
        <v>171</v>
      </c>
    </row>
    <row r="149" spans="2:14" x14ac:dyDescent="0.2">
      <c r="B149" s="18" t="s">
        <v>1341</v>
      </c>
      <c r="C149" s="20">
        <v>8.5</v>
      </c>
      <c r="D149" s="133">
        <v>1.4375</v>
      </c>
      <c r="E149" s="134">
        <v>16.25</v>
      </c>
      <c r="F149" s="133">
        <v>2.25</v>
      </c>
      <c r="G149" s="133">
        <v>2.9375</v>
      </c>
      <c r="H149" s="133">
        <v>1.3125</v>
      </c>
      <c r="I149" s="134" t="s">
        <v>1008</v>
      </c>
      <c r="J149" s="134" t="s">
        <v>1008</v>
      </c>
      <c r="K149" s="123">
        <f t="shared" si="16"/>
        <v>4.125</v>
      </c>
      <c r="L149" s="281">
        <f t="shared" si="17"/>
        <v>1.2573000019110963</v>
      </c>
      <c r="M149" s="281">
        <f t="shared" si="18"/>
        <v>231.4095088819262</v>
      </c>
      <c r="N149">
        <v>155.5</v>
      </c>
    </row>
    <row r="150" spans="2:14" x14ac:dyDescent="0.2">
      <c r="B150" s="18" t="s">
        <v>1342</v>
      </c>
      <c r="C150" s="20">
        <v>8.375</v>
      </c>
      <c r="D150" s="19">
        <v>1.3125</v>
      </c>
      <c r="E150" s="20">
        <v>16.125</v>
      </c>
      <c r="F150" s="19">
        <v>2.0625</v>
      </c>
      <c r="G150" s="19">
        <v>2.75</v>
      </c>
      <c r="H150" s="19">
        <v>1.25</v>
      </c>
      <c r="I150" s="20" t="s">
        <v>1008</v>
      </c>
      <c r="J150" s="20" t="s">
        <v>1008</v>
      </c>
      <c r="K150" s="123">
        <f t="shared" si="16"/>
        <v>4.083333333333333</v>
      </c>
      <c r="L150" s="281">
        <f t="shared" si="17"/>
        <v>1.244600001891792</v>
      </c>
      <c r="M150" s="281">
        <f t="shared" si="18"/>
        <v>210.57521226233155</v>
      </c>
      <c r="N150">
        <v>141.5</v>
      </c>
    </row>
    <row r="151" spans="2:14" x14ac:dyDescent="0.2">
      <c r="B151" s="18" t="s">
        <v>1343</v>
      </c>
      <c r="C151" s="20">
        <v>8.25</v>
      </c>
      <c r="D151" s="133">
        <v>1.1875</v>
      </c>
      <c r="E151" s="134">
        <v>16</v>
      </c>
      <c r="F151" s="133">
        <v>1.875</v>
      </c>
      <c r="G151" s="133">
        <v>2.5625</v>
      </c>
      <c r="H151" s="133">
        <v>1.1875</v>
      </c>
      <c r="I151" s="134" t="s">
        <v>1008</v>
      </c>
      <c r="J151" s="134" t="s">
        <v>1008</v>
      </c>
      <c r="K151" s="123">
        <f t="shared" si="16"/>
        <v>4.041666666666667</v>
      </c>
      <c r="L151" s="281">
        <f t="shared" si="17"/>
        <v>1.2319000018724882</v>
      </c>
      <c r="M151" s="281">
        <f t="shared" si="18"/>
        <v>191.22907968699369</v>
      </c>
      <c r="N151">
        <v>128.5</v>
      </c>
    </row>
    <row r="152" spans="2:14" x14ac:dyDescent="0.2">
      <c r="B152" s="18" t="s">
        <v>1344</v>
      </c>
      <c r="C152" s="20">
        <v>8</v>
      </c>
      <c r="D152" s="19">
        <v>1.0625</v>
      </c>
      <c r="E152" s="20">
        <v>15.875</v>
      </c>
      <c r="F152" s="19">
        <v>1.75</v>
      </c>
      <c r="G152" s="19">
        <v>2.375</v>
      </c>
      <c r="H152" s="19">
        <v>1.1875</v>
      </c>
      <c r="I152" s="20" t="s">
        <v>1008</v>
      </c>
      <c r="J152" s="20" t="s">
        <v>1008</v>
      </c>
      <c r="K152" s="123">
        <f t="shared" si="16"/>
        <v>3.9791666666666665</v>
      </c>
      <c r="L152" s="281">
        <f t="shared" si="17"/>
        <v>1.212850001843532</v>
      </c>
      <c r="M152" s="281">
        <f t="shared" si="18"/>
        <v>173.37111115591253</v>
      </c>
      <c r="N152">
        <v>116.5</v>
      </c>
    </row>
    <row r="153" spans="2:14" x14ac:dyDescent="0.2">
      <c r="B153" s="18" t="s">
        <v>1345</v>
      </c>
      <c r="C153" s="20">
        <v>7.875</v>
      </c>
      <c r="D153" s="133">
        <v>1</v>
      </c>
      <c r="E153" s="134">
        <v>15.75</v>
      </c>
      <c r="F153" s="133">
        <v>1.5625</v>
      </c>
      <c r="G153" s="133">
        <v>2.25</v>
      </c>
      <c r="H153" s="133">
        <v>1.125</v>
      </c>
      <c r="I153" s="134" t="s">
        <v>1008</v>
      </c>
      <c r="J153" s="134" t="s">
        <v>1008</v>
      </c>
      <c r="K153" s="123">
        <f t="shared" si="16"/>
        <v>3.9375</v>
      </c>
      <c r="L153" s="281">
        <f t="shared" si="17"/>
        <v>1.2001500018242282</v>
      </c>
      <c r="M153" s="281">
        <f t="shared" si="18"/>
        <v>157.00130666908819</v>
      </c>
      <c r="N153">
        <v>105.5</v>
      </c>
    </row>
    <row r="154" spans="2:14" x14ac:dyDescent="0.2">
      <c r="B154" s="18" t="s">
        <v>1346</v>
      </c>
      <c r="C154" s="20">
        <v>7.75</v>
      </c>
      <c r="D154" s="19">
        <v>0.875</v>
      </c>
      <c r="E154" s="20">
        <v>15.75</v>
      </c>
      <c r="F154" s="19">
        <v>1.4375</v>
      </c>
      <c r="G154" s="19">
        <v>2.125</v>
      </c>
      <c r="H154" s="19">
        <v>1.0625</v>
      </c>
      <c r="I154" s="20" t="s">
        <v>1008</v>
      </c>
      <c r="J154" s="20" t="s">
        <v>1008</v>
      </c>
      <c r="K154" s="123">
        <f t="shared" si="16"/>
        <v>3.9166666666666665</v>
      </c>
      <c r="L154" s="281">
        <f t="shared" si="17"/>
        <v>1.193800001814576</v>
      </c>
      <c r="M154" s="281">
        <f t="shared" si="18"/>
        <v>143.60783027077736</v>
      </c>
      <c r="N154">
        <v>96.5</v>
      </c>
    </row>
    <row r="155" spans="2:14" x14ac:dyDescent="0.2">
      <c r="B155" s="18" t="s">
        <v>1347</v>
      </c>
      <c r="C155" s="20">
        <v>7.625</v>
      </c>
      <c r="D155" s="133">
        <v>0.8125</v>
      </c>
      <c r="E155" s="134">
        <v>15.625</v>
      </c>
      <c r="F155" s="133">
        <v>1.3125</v>
      </c>
      <c r="G155" s="133">
        <v>2</v>
      </c>
      <c r="H155" s="133">
        <v>1.0625</v>
      </c>
      <c r="I155" s="134" t="s">
        <v>1008</v>
      </c>
      <c r="J155" s="134" t="s">
        <v>1008</v>
      </c>
      <c r="K155" s="123">
        <f t="shared" si="16"/>
        <v>3.875</v>
      </c>
      <c r="L155" s="281">
        <f t="shared" si="17"/>
        <v>1.1811000017952722</v>
      </c>
      <c r="M155" s="281">
        <f t="shared" si="18"/>
        <v>130.95843589459488</v>
      </c>
      <c r="N155">
        <v>88</v>
      </c>
    </row>
    <row r="156" spans="2:14" x14ac:dyDescent="0.2">
      <c r="B156" s="18" t="s">
        <v>1348</v>
      </c>
      <c r="C156" s="20">
        <v>7.5</v>
      </c>
      <c r="D156" s="19">
        <v>0.75</v>
      </c>
      <c r="E156" s="20">
        <v>15.625</v>
      </c>
      <c r="F156" s="19">
        <v>1.1875</v>
      </c>
      <c r="G156" s="19">
        <v>1.875</v>
      </c>
      <c r="H156" s="19">
        <v>1</v>
      </c>
      <c r="I156" s="20" t="s">
        <v>1008</v>
      </c>
      <c r="J156" s="20" t="s">
        <v>1008</v>
      </c>
      <c r="K156" s="123">
        <f t="shared" si="16"/>
        <v>3.8541666666666665</v>
      </c>
      <c r="L156" s="281">
        <f t="shared" si="17"/>
        <v>1.1747500017856201</v>
      </c>
      <c r="M156" s="281">
        <f t="shared" si="18"/>
        <v>118.30904151841241</v>
      </c>
      <c r="N156">
        <v>79.5</v>
      </c>
    </row>
    <row r="157" spans="2:14" x14ac:dyDescent="0.2">
      <c r="B157" s="191" t="s">
        <v>1349</v>
      </c>
      <c r="C157" s="22">
        <v>7.375</v>
      </c>
      <c r="D157" s="133">
        <v>0.6875</v>
      </c>
      <c r="E157" s="134">
        <v>15.5</v>
      </c>
      <c r="F157" s="133">
        <v>1.0625</v>
      </c>
      <c r="G157" s="133">
        <v>1.75</v>
      </c>
      <c r="H157" s="133">
        <v>1</v>
      </c>
      <c r="I157" s="134" t="s">
        <v>1008</v>
      </c>
      <c r="J157" s="134" t="s">
        <v>1008</v>
      </c>
      <c r="K157" s="320">
        <f t="shared" si="16"/>
        <v>3.8125</v>
      </c>
      <c r="L157" s="340">
        <f t="shared" si="17"/>
        <v>1.1620500017663162</v>
      </c>
      <c r="M157" s="340">
        <f t="shared" si="18"/>
        <v>107.8918932086151</v>
      </c>
      <c r="N157">
        <v>72.5</v>
      </c>
    </row>
    <row r="158" spans="2:14" x14ac:dyDescent="0.2">
      <c r="B158" s="314"/>
      <c r="C158" s="322"/>
      <c r="D158" s="322"/>
      <c r="E158" s="322"/>
      <c r="F158" s="322"/>
      <c r="G158" s="322"/>
      <c r="H158" s="322"/>
      <c r="I158" s="322"/>
      <c r="J158" s="322"/>
      <c r="K158" s="322"/>
      <c r="L158" s="322"/>
      <c r="M158" s="319"/>
    </row>
    <row r="159" spans="2:14" x14ac:dyDescent="0.2">
      <c r="B159" s="159" t="s">
        <v>1350</v>
      </c>
      <c r="C159" s="160">
        <v>7.375</v>
      </c>
      <c r="D159" s="133">
        <v>0.625</v>
      </c>
      <c r="E159" s="134">
        <v>14.75</v>
      </c>
      <c r="F159" s="133">
        <v>1</v>
      </c>
      <c r="G159" s="133">
        <v>1.6875</v>
      </c>
      <c r="H159" s="133">
        <v>0.9375</v>
      </c>
      <c r="I159" s="134">
        <v>5.5</v>
      </c>
      <c r="J159" s="133">
        <v>3</v>
      </c>
      <c r="K159" s="123">
        <f>((C159-(F159*1))*2+(E159*2)+(F159*2))*12/144</f>
        <v>3.6875</v>
      </c>
      <c r="L159" s="281">
        <f>K159*3.2808399*0.09290304</f>
        <v>1.1239500017084041</v>
      </c>
      <c r="M159" s="281">
        <f t="shared" si="18"/>
        <v>98.218826920946171</v>
      </c>
      <c r="N159">
        <v>66</v>
      </c>
    </row>
    <row r="160" spans="2:14" x14ac:dyDescent="0.2">
      <c r="B160" s="18" t="s">
        <v>1351</v>
      </c>
      <c r="C160" s="20">
        <v>7.25</v>
      </c>
      <c r="D160" s="19">
        <v>0.5625</v>
      </c>
      <c r="E160" s="20">
        <v>14.625</v>
      </c>
      <c r="F160" s="19">
        <v>0.9375</v>
      </c>
      <c r="G160" s="19">
        <v>1.625</v>
      </c>
      <c r="H160" s="19">
        <v>0.9375</v>
      </c>
      <c r="I160" s="20">
        <v>5.5</v>
      </c>
      <c r="J160" s="19">
        <v>3</v>
      </c>
      <c r="K160" s="123">
        <f>((C160-(F160*1))*2+(E160*2)+(F160*2))*12/144</f>
        <v>3.6458333333333335</v>
      </c>
      <c r="L160" s="281">
        <f>K160*3.2808399*0.09290304</f>
        <v>1.1112500016891</v>
      </c>
      <c r="M160" s="281">
        <f t="shared" si="18"/>
        <v>89.289842655405593</v>
      </c>
      <c r="N160">
        <v>60</v>
      </c>
    </row>
    <row r="161" spans="2:14" x14ac:dyDescent="0.2">
      <c r="B161" s="18" t="s">
        <v>1352</v>
      </c>
      <c r="C161" s="20">
        <v>7.125</v>
      </c>
      <c r="D161" s="133">
        <v>0.5</v>
      </c>
      <c r="E161" s="134">
        <v>14.625</v>
      </c>
      <c r="F161" s="133">
        <v>0.875</v>
      </c>
      <c r="G161" s="133">
        <v>1.5625</v>
      </c>
      <c r="H161" s="133">
        <v>0.875</v>
      </c>
      <c r="I161" s="134">
        <v>5.5</v>
      </c>
      <c r="J161" s="133">
        <v>2.75</v>
      </c>
      <c r="K161" s="123">
        <f>((C161-(F161*1))*2+(E161*2)+(F161*2))*12/144</f>
        <v>3.625</v>
      </c>
      <c r="L161" s="281">
        <f>K161*3.2808399*0.09290304</f>
        <v>1.1049000016794481</v>
      </c>
      <c r="M161" s="281">
        <f t="shared" si="18"/>
        <v>81.104940411993425</v>
      </c>
      <c r="N161">
        <v>54.5</v>
      </c>
    </row>
    <row r="162" spans="2:14" x14ac:dyDescent="0.2">
      <c r="B162" s="18" t="s">
        <v>1353</v>
      </c>
      <c r="C162" s="20">
        <v>7.125</v>
      </c>
      <c r="D162" s="19">
        <v>0.5</v>
      </c>
      <c r="E162" s="20">
        <v>14.625</v>
      </c>
      <c r="F162" s="19">
        <v>0.75</v>
      </c>
      <c r="G162" s="19">
        <v>1.4375</v>
      </c>
      <c r="H162" s="19">
        <v>0.875</v>
      </c>
      <c r="I162" s="20">
        <v>5.5</v>
      </c>
      <c r="J162" s="19">
        <v>2.75</v>
      </c>
      <c r="K162" s="123">
        <f>((C162-(F162*1))*2+(E162*2)+(F162*2))*12/144</f>
        <v>3.625</v>
      </c>
      <c r="L162" s="281">
        <f>K162*3.2808399*0.09290304</f>
        <v>1.1049000016794481</v>
      </c>
      <c r="M162" s="281">
        <f t="shared" si="18"/>
        <v>73.664120190709625</v>
      </c>
      <c r="N162">
        <v>49.5</v>
      </c>
    </row>
    <row r="163" spans="2:14" x14ac:dyDescent="0.2">
      <c r="B163" s="191" t="s">
        <v>1354</v>
      </c>
      <c r="C163" s="22">
        <v>7</v>
      </c>
      <c r="D163" s="21">
        <v>0.4375</v>
      </c>
      <c r="E163" s="22">
        <v>14.5</v>
      </c>
      <c r="F163" s="21">
        <v>0.6875</v>
      </c>
      <c r="G163" s="21">
        <v>1.375</v>
      </c>
      <c r="H163" s="21">
        <v>0.875</v>
      </c>
      <c r="I163" s="22">
        <v>5.5</v>
      </c>
      <c r="J163" s="21">
        <v>2.75</v>
      </c>
      <c r="K163" s="320">
        <f>((C163-(F163*1))*2+(E163*2)+(F163*2))*12/144</f>
        <v>3.5833333333333335</v>
      </c>
      <c r="L163" s="340">
        <f>K163*3.2808399*0.09290304</f>
        <v>1.0922000016601441</v>
      </c>
      <c r="M163" s="340">
        <f t="shared" si="18"/>
        <v>66.967381991554205</v>
      </c>
      <c r="N163">
        <v>45</v>
      </c>
    </row>
    <row r="164" spans="2:14" x14ac:dyDescent="0.2">
      <c r="B164" s="314"/>
      <c r="C164" s="322"/>
      <c r="D164" s="322"/>
      <c r="E164" s="322"/>
      <c r="F164" s="322"/>
      <c r="G164" s="322"/>
      <c r="H164" s="322"/>
      <c r="I164" s="322"/>
      <c r="J164" s="322"/>
      <c r="K164" s="322"/>
      <c r="L164" s="322"/>
      <c r="M164" s="324"/>
    </row>
    <row r="165" spans="2:14" x14ac:dyDescent="0.2">
      <c r="B165" s="159" t="s">
        <v>1355</v>
      </c>
      <c r="C165" s="160">
        <v>7.125</v>
      </c>
      <c r="D165" s="135">
        <v>0.5</v>
      </c>
      <c r="E165" s="160">
        <v>10.125</v>
      </c>
      <c r="F165" s="135">
        <v>0.875</v>
      </c>
      <c r="G165" s="135">
        <v>1.625</v>
      </c>
      <c r="H165" s="135">
        <v>1</v>
      </c>
      <c r="I165" s="160">
        <v>5.5</v>
      </c>
      <c r="J165" s="135">
        <v>2.75</v>
      </c>
      <c r="K165" s="123">
        <f>((C165-(F165*1))*2+(E165*2)+(F165*2))*12/144</f>
        <v>2.875</v>
      </c>
      <c r="L165" s="281">
        <f>K165*3.2808399*0.09290304</f>
        <v>0.87630000133197605</v>
      </c>
      <c r="M165" s="281">
        <f t="shared" si="18"/>
        <v>61.014725814527161</v>
      </c>
      <c r="N165">
        <v>41</v>
      </c>
    </row>
    <row r="166" spans="2:14" x14ac:dyDescent="0.2">
      <c r="B166" s="18" t="s">
        <v>1356</v>
      </c>
      <c r="C166" s="20">
        <v>7.125</v>
      </c>
      <c r="D166" s="133">
        <v>0.4375</v>
      </c>
      <c r="E166" s="134">
        <v>10.125</v>
      </c>
      <c r="F166" s="133">
        <v>0.8125</v>
      </c>
      <c r="G166" s="133">
        <v>1.5625</v>
      </c>
      <c r="H166" s="133">
        <v>0.9375</v>
      </c>
      <c r="I166" s="134">
        <v>5.5</v>
      </c>
      <c r="J166" s="133">
        <v>2.75</v>
      </c>
      <c r="K166" s="123">
        <f>((C166-(F166*1))*2+(E166*2)+(F166*2))*12/144</f>
        <v>2.875</v>
      </c>
      <c r="L166" s="281">
        <f>K166*3.2808399*0.09290304</f>
        <v>0.87630000133197605</v>
      </c>
      <c r="M166" s="281">
        <f t="shared" si="18"/>
        <v>55.062069637500123</v>
      </c>
      <c r="N166">
        <v>37</v>
      </c>
    </row>
    <row r="167" spans="2:14" x14ac:dyDescent="0.2">
      <c r="B167" s="18" t="s">
        <v>1357</v>
      </c>
      <c r="C167" s="20">
        <v>7</v>
      </c>
      <c r="D167" s="19">
        <v>0.4375</v>
      </c>
      <c r="E167" s="20">
        <v>10</v>
      </c>
      <c r="F167" s="19">
        <v>0.75</v>
      </c>
      <c r="G167" s="19">
        <v>1.5</v>
      </c>
      <c r="H167" s="19">
        <v>0.9375</v>
      </c>
      <c r="I167" s="20">
        <v>5.5</v>
      </c>
      <c r="J167" s="19">
        <v>2.75</v>
      </c>
      <c r="K167" s="123">
        <f>((C167-(F167*1))*2+(E167*2)+(F167*2))*12/144</f>
        <v>2.8333333333333335</v>
      </c>
      <c r="L167" s="281">
        <f>K167*3.2808399*0.09290304</f>
        <v>0.86360000131267223</v>
      </c>
      <c r="M167" s="281">
        <f t="shared" si="18"/>
        <v>50.597577504729848</v>
      </c>
      <c r="N167">
        <v>34</v>
      </c>
    </row>
    <row r="168" spans="2:14" x14ac:dyDescent="0.2">
      <c r="B168" s="191" t="s">
        <v>1358</v>
      </c>
      <c r="C168" s="22">
        <v>7</v>
      </c>
      <c r="D168" s="21">
        <v>0.375</v>
      </c>
      <c r="E168" s="22">
        <v>10</v>
      </c>
      <c r="F168" s="21">
        <v>0.625</v>
      </c>
      <c r="G168" s="21">
        <v>1.4375</v>
      </c>
      <c r="H168" s="21">
        <v>0.9375</v>
      </c>
      <c r="I168" s="22">
        <v>5.5</v>
      </c>
      <c r="J168" s="21">
        <v>2.75</v>
      </c>
      <c r="K168" s="320">
        <f>((C168-(F168*1))*2+(E168*2)+(F168*2))*12/144</f>
        <v>2.8333333333333335</v>
      </c>
      <c r="L168" s="340">
        <f>K168*3.2808399*0.09290304</f>
        <v>0.86360000131267223</v>
      </c>
      <c r="M168" s="340">
        <f t="shared" si="18"/>
        <v>45.389003349831185</v>
      </c>
      <c r="N168">
        <v>30.5</v>
      </c>
    </row>
    <row r="169" spans="2:14" x14ac:dyDescent="0.2">
      <c r="B169" s="314"/>
      <c r="C169" s="322"/>
      <c r="D169" s="322"/>
      <c r="E169" s="322"/>
      <c r="F169" s="322"/>
      <c r="G169" s="322"/>
      <c r="H169" s="322"/>
      <c r="I169" s="322"/>
      <c r="J169" s="322"/>
      <c r="K169" s="322"/>
      <c r="L169" s="322"/>
      <c r="M169" s="319"/>
    </row>
    <row r="170" spans="2:14" x14ac:dyDescent="0.2">
      <c r="B170" s="159" t="s">
        <v>1359</v>
      </c>
      <c r="C170" s="160">
        <v>7</v>
      </c>
      <c r="D170" s="135">
        <v>0.375</v>
      </c>
      <c r="E170" s="160">
        <v>8</v>
      </c>
      <c r="F170" s="135">
        <v>0.6875</v>
      </c>
      <c r="G170" s="135">
        <v>1.4375</v>
      </c>
      <c r="H170" s="135">
        <v>0.9375</v>
      </c>
      <c r="I170" s="160">
        <v>5.5</v>
      </c>
      <c r="J170" s="135">
        <v>2.75</v>
      </c>
      <c r="K170" s="123">
        <f>((C170-(F170*1))*2+(E170*2)+(F170*2))*12/144</f>
        <v>2.5</v>
      </c>
      <c r="L170" s="281">
        <f>K170*3.2808399*0.09290304</f>
        <v>0.76200000115824007</v>
      </c>
      <c r="M170" s="281">
        <f t="shared" si="18"/>
        <v>39.43634717280414</v>
      </c>
      <c r="N170">
        <v>26.5</v>
      </c>
    </row>
    <row r="171" spans="2:14" x14ac:dyDescent="0.2">
      <c r="B171" s="18" t="s">
        <v>1360</v>
      </c>
      <c r="C171" s="20">
        <v>6.875</v>
      </c>
      <c r="D171" s="133">
        <v>0.3125</v>
      </c>
      <c r="E171" s="134">
        <v>8</v>
      </c>
      <c r="F171" s="133">
        <v>0.625</v>
      </c>
      <c r="G171" s="133">
        <v>1.375</v>
      </c>
      <c r="H171" s="133">
        <v>0.875</v>
      </c>
      <c r="I171" s="134">
        <v>5.5</v>
      </c>
      <c r="J171" s="133">
        <v>2.5</v>
      </c>
      <c r="K171" s="123">
        <f>((C171-(F171*1))*2+(E171*2)+(F171*2))*12/144</f>
        <v>2.4791666666666665</v>
      </c>
      <c r="L171" s="281">
        <f>K171*3.2808399*0.09290304</f>
        <v>0.75565000114858805</v>
      </c>
      <c r="M171" s="281">
        <f t="shared" si="18"/>
        <v>35.71593706216224</v>
      </c>
      <c r="N171">
        <v>24</v>
      </c>
    </row>
    <row r="172" spans="2:14" x14ac:dyDescent="0.2">
      <c r="B172" s="191" t="s">
        <v>1361</v>
      </c>
      <c r="C172" s="22">
        <v>6.875</v>
      </c>
      <c r="D172" s="21">
        <v>0.3125</v>
      </c>
      <c r="E172" s="22">
        <v>8</v>
      </c>
      <c r="F172" s="21">
        <v>0.5</v>
      </c>
      <c r="G172" s="21">
        <v>1.3125</v>
      </c>
      <c r="H172" s="21">
        <v>0.875</v>
      </c>
      <c r="I172" s="22">
        <v>5.5</v>
      </c>
      <c r="J172" s="21">
        <v>2.5</v>
      </c>
      <c r="K172" s="320">
        <f>((C172-(F172*1))*2+(E172*2)+(F172*2))*12/144</f>
        <v>2.4791666666666665</v>
      </c>
      <c r="L172" s="340">
        <f>K172*3.2808399*0.09290304</f>
        <v>0.75565000114858805</v>
      </c>
      <c r="M172" s="340">
        <f t="shared" si="18"/>
        <v>31.99552695152034</v>
      </c>
      <c r="N172">
        <v>21.5</v>
      </c>
    </row>
    <row r="173" spans="2:14" x14ac:dyDescent="0.2">
      <c r="B173" s="314"/>
      <c r="C173" s="322"/>
      <c r="D173" s="322"/>
      <c r="E173" s="322"/>
      <c r="F173" s="322"/>
      <c r="G173" s="322"/>
      <c r="H173" s="322"/>
      <c r="I173" s="322"/>
      <c r="J173" s="322"/>
      <c r="K173" s="322"/>
      <c r="L173" s="322"/>
      <c r="M173" s="319"/>
    </row>
    <row r="174" spans="2:14" x14ac:dyDescent="0.2">
      <c r="B174" s="159" t="s">
        <v>1362</v>
      </c>
      <c r="C174" s="160">
        <v>7</v>
      </c>
      <c r="D174" s="133">
        <v>0.3125</v>
      </c>
      <c r="E174" s="134">
        <v>6.75</v>
      </c>
      <c r="F174" s="133">
        <v>0.5</v>
      </c>
      <c r="G174" s="133">
        <v>1.0625</v>
      </c>
      <c r="H174" s="133">
        <v>0.625</v>
      </c>
      <c r="I174" s="134">
        <v>3.5</v>
      </c>
      <c r="J174" s="133">
        <v>2.5</v>
      </c>
      <c r="K174" s="123">
        <f>((C174-(F174*1))*2+(E174*2)+(F174*2))*12/144</f>
        <v>2.2916666666666665</v>
      </c>
      <c r="L174" s="281">
        <f>K174*3.2808399*0.09290304</f>
        <v>0.69850000106172005</v>
      </c>
      <c r="M174" s="281">
        <f t="shared" si="18"/>
        <v>28.275116840878439</v>
      </c>
      <c r="N174">
        <v>19</v>
      </c>
    </row>
    <row r="175" spans="2:14" x14ac:dyDescent="0.2">
      <c r="B175" s="18" t="s">
        <v>1363</v>
      </c>
      <c r="C175" s="20">
        <v>7</v>
      </c>
      <c r="D175" s="19">
        <v>0.3125</v>
      </c>
      <c r="E175" s="20">
        <v>6.75</v>
      </c>
      <c r="F175" s="19">
        <v>0.4375</v>
      </c>
      <c r="G175" s="19">
        <v>1</v>
      </c>
      <c r="H175" s="19">
        <v>0.625</v>
      </c>
      <c r="I175" s="20">
        <v>3.5</v>
      </c>
      <c r="J175" s="19">
        <v>2.5</v>
      </c>
      <c r="K175" s="123">
        <f>((C175-(F175*1))*2+(E175*2)+(F175*2))*12/144</f>
        <v>2.2916666666666665</v>
      </c>
      <c r="L175" s="281">
        <f>K175*3.2808399*0.09290304</f>
        <v>0.69850000106172005</v>
      </c>
      <c r="M175" s="281">
        <f t="shared" si="18"/>
        <v>25.298788752364924</v>
      </c>
      <c r="N175">
        <v>17</v>
      </c>
    </row>
    <row r="176" spans="2:14" x14ac:dyDescent="0.2">
      <c r="B176" s="191" t="s">
        <v>1364</v>
      </c>
      <c r="C176" s="22">
        <v>6.875</v>
      </c>
      <c r="D176" s="21">
        <v>0.25</v>
      </c>
      <c r="E176" s="22">
        <v>6.75</v>
      </c>
      <c r="F176" s="21">
        <v>0.375</v>
      </c>
      <c r="G176" s="22">
        <v>0.9375</v>
      </c>
      <c r="H176" s="22">
        <v>0.625</v>
      </c>
      <c r="I176" s="22">
        <v>3.5</v>
      </c>
      <c r="J176" s="21">
        <v>2.5</v>
      </c>
      <c r="K176" s="320">
        <f>((C176-(F176*1))*2+(E176*2)+(F176*2))*12/144</f>
        <v>2.2708333333333335</v>
      </c>
      <c r="L176" s="340">
        <f>K176*3.2808399*0.09290304</f>
        <v>0.69215000105206803</v>
      </c>
      <c r="M176" s="340">
        <f t="shared" si="18"/>
        <v>22.322460663851398</v>
      </c>
      <c r="N176">
        <v>15</v>
      </c>
    </row>
    <row r="177" spans="2:14" x14ac:dyDescent="0.2">
      <c r="B177" s="314"/>
      <c r="C177" s="322"/>
      <c r="D177" s="322"/>
      <c r="E177" s="322"/>
      <c r="F177" s="322"/>
      <c r="G177" s="322"/>
      <c r="H177" s="322"/>
      <c r="I177" s="322"/>
      <c r="J177" s="322"/>
      <c r="K177" s="322"/>
      <c r="L177" s="322"/>
      <c r="M177" s="319"/>
    </row>
    <row r="178" spans="2:14" x14ac:dyDescent="0.2">
      <c r="B178" s="159" t="s">
        <v>1365</v>
      </c>
      <c r="C178" s="160">
        <v>7</v>
      </c>
      <c r="D178" s="135">
        <v>0.25</v>
      </c>
      <c r="E178" s="160">
        <v>5</v>
      </c>
      <c r="F178" s="135">
        <v>0.4375</v>
      </c>
      <c r="G178" s="160">
        <v>0.9375</v>
      </c>
      <c r="H178" s="160">
        <v>0.5625</v>
      </c>
      <c r="I178" s="160">
        <v>2.75</v>
      </c>
      <c r="J178" s="135">
        <v>2.5</v>
      </c>
      <c r="K178" s="123">
        <f>((C178-(F178*1))*2+(E178*2)+(F178*2))*12/144</f>
        <v>2</v>
      </c>
      <c r="L178" s="281">
        <f>K178*3.2808399*0.09290304</f>
        <v>0.60960000092659206</v>
      </c>
      <c r="M178" s="281">
        <f t="shared" si="18"/>
        <v>19.346132575337883</v>
      </c>
      <c r="N178">
        <v>13</v>
      </c>
    </row>
    <row r="179" spans="2:14" x14ac:dyDescent="0.2">
      <c r="B179" s="191" t="s">
        <v>1366</v>
      </c>
      <c r="C179" s="22">
        <v>6.875</v>
      </c>
      <c r="D179" s="133">
        <v>0.25</v>
      </c>
      <c r="E179" s="134">
        <v>5</v>
      </c>
      <c r="F179" s="133">
        <v>0.3125</v>
      </c>
      <c r="G179" s="134">
        <v>0.875</v>
      </c>
      <c r="H179" s="134">
        <v>0.5625</v>
      </c>
      <c r="I179" s="134">
        <v>2.75</v>
      </c>
      <c r="J179" s="133">
        <v>2.25</v>
      </c>
      <c r="K179" s="320">
        <f>((C179-(F179*1))*2+(E179*2)+(F179*2))*12/144</f>
        <v>1.9791666666666667</v>
      </c>
      <c r="L179" s="340">
        <f>K179*3.2808399*0.09290304</f>
        <v>0.60325000091694003</v>
      </c>
      <c r="M179" s="340">
        <f t="shared" si="18"/>
        <v>16.369804486824361</v>
      </c>
      <c r="N179">
        <v>11</v>
      </c>
    </row>
    <row r="180" spans="2:14" x14ac:dyDescent="0.2">
      <c r="B180" s="314"/>
      <c r="C180" s="322"/>
      <c r="D180" s="322"/>
      <c r="E180" s="322"/>
      <c r="F180" s="322"/>
      <c r="G180" s="322"/>
      <c r="H180" s="322"/>
      <c r="I180" s="322"/>
      <c r="J180" s="322"/>
      <c r="K180" s="322"/>
      <c r="L180" s="322"/>
      <c r="M180" s="319"/>
    </row>
    <row r="181" spans="2:14" x14ac:dyDescent="0.2">
      <c r="B181" s="159" t="s">
        <v>1367</v>
      </c>
      <c r="C181" s="160">
        <v>8.375</v>
      </c>
      <c r="D181" s="133">
        <v>1.75</v>
      </c>
      <c r="E181" s="134">
        <v>13.375</v>
      </c>
      <c r="F181" s="133">
        <v>2.9375</v>
      </c>
      <c r="G181" s="134">
        <v>3.6875</v>
      </c>
      <c r="H181" s="134">
        <v>1.5</v>
      </c>
      <c r="I181" s="134" t="s">
        <v>1008</v>
      </c>
      <c r="J181" s="133" t="s">
        <v>1008</v>
      </c>
      <c r="K181" s="123">
        <f t="shared" ref="K181:K197" si="19">((C181-(F181*1))*2+(E181*2)+(F181*2))*12/144</f>
        <v>3.625</v>
      </c>
      <c r="L181" s="281">
        <f t="shared" ref="L181:L197" si="20">K181*3.2808399*0.09290304</f>
        <v>1.1049000016794481</v>
      </c>
      <c r="M181" s="281">
        <f t="shared" si="18"/>
        <v>250.01155943513569</v>
      </c>
      <c r="N181">
        <v>168</v>
      </c>
    </row>
    <row r="182" spans="2:14" x14ac:dyDescent="0.2">
      <c r="B182" s="18" t="s">
        <v>1368</v>
      </c>
      <c r="C182" s="20">
        <v>8.125</v>
      </c>
      <c r="D182" s="19">
        <v>1.625</v>
      </c>
      <c r="E182" s="20">
        <v>13.25</v>
      </c>
      <c r="F182" s="19">
        <v>2.6875</v>
      </c>
      <c r="G182" s="20">
        <v>3.4375</v>
      </c>
      <c r="H182" s="20">
        <v>1.4375</v>
      </c>
      <c r="I182" s="20" t="s">
        <v>1008</v>
      </c>
      <c r="J182" s="19" t="s">
        <v>1008</v>
      </c>
      <c r="K182" s="123">
        <f t="shared" si="19"/>
        <v>3.5625</v>
      </c>
      <c r="L182" s="281">
        <f t="shared" si="20"/>
        <v>1.0858500016504919</v>
      </c>
      <c r="M182" s="281">
        <f t="shared" si="18"/>
        <v>226.94501674915591</v>
      </c>
      <c r="N182">
        <v>152.5</v>
      </c>
    </row>
    <row r="183" spans="2:14" x14ac:dyDescent="0.2">
      <c r="B183" s="18" t="s">
        <v>1369</v>
      </c>
      <c r="C183" s="20">
        <v>7.875</v>
      </c>
      <c r="D183" s="133">
        <v>1.5</v>
      </c>
      <c r="E183" s="134">
        <v>13.125</v>
      </c>
      <c r="F183" s="133">
        <v>2.5</v>
      </c>
      <c r="G183" s="134">
        <v>3.1875</v>
      </c>
      <c r="H183" s="134">
        <v>1.375</v>
      </c>
      <c r="I183" s="134" t="s">
        <v>1008</v>
      </c>
      <c r="J183" s="133" t="s">
        <v>1008</v>
      </c>
      <c r="K183" s="123">
        <f t="shared" si="19"/>
        <v>3.5</v>
      </c>
      <c r="L183" s="281">
        <f t="shared" si="20"/>
        <v>1.0668000016215362</v>
      </c>
      <c r="M183" s="281">
        <f t="shared" si="18"/>
        <v>207.59888417381805</v>
      </c>
      <c r="N183">
        <v>139.5</v>
      </c>
    </row>
    <row r="184" spans="2:14" x14ac:dyDescent="0.2">
      <c r="B184" s="18" t="s">
        <v>1370</v>
      </c>
      <c r="C184" s="20">
        <v>7.75</v>
      </c>
      <c r="D184" s="19">
        <v>1.375</v>
      </c>
      <c r="E184" s="20">
        <v>13</v>
      </c>
      <c r="F184" s="19">
        <v>2.25</v>
      </c>
      <c r="G184" s="20">
        <v>2.9375</v>
      </c>
      <c r="H184" s="20">
        <v>1.3125</v>
      </c>
      <c r="I184" s="20" t="s">
        <v>1008</v>
      </c>
      <c r="J184" s="19" t="s">
        <v>1008</v>
      </c>
      <c r="K184" s="123">
        <f t="shared" si="19"/>
        <v>3.4583333333333335</v>
      </c>
      <c r="L184" s="281">
        <f t="shared" si="20"/>
        <v>1.0541000016022322</v>
      </c>
      <c r="M184" s="281">
        <f t="shared" si="18"/>
        <v>187.50866957635179</v>
      </c>
      <c r="N184">
        <v>126</v>
      </c>
    </row>
    <row r="185" spans="2:14" x14ac:dyDescent="0.2">
      <c r="B185" s="18" t="s">
        <v>1371</v>
      </c>
      <c r="C185" s="20">
        <v>7.5</v>
      </c>
      <c r="D185" s="133">
        <v>1.3125</v>
      </c>
      <c r="E185" s="134">
        <v>12.875</v>
      </c>
      <c r="F185" s="133">
        <v>2.0625</v>
      </c>
      <c r="G185" s="134">
        <v>2.75</v>
      </c>
      <c r="H185" s="134">
        <v>1.25</v>
      </c>
      <c r="I185" s="134" t="s">
        <v>1008</v>
      </c>
      <c r="J185" s="133" t="s">
        <v>1008</v>
      </c>
      <c r="K185" s="123">
        <f t="shared" si="19"/>
        <v>3.3958333333333335</v>
      </c>
      <c r="L185" s="281">
        <f t="shared" si="20"/>
        <v>1.0350500015732762</v>
      </c>
      <c r="M185" s="281">
        <f t="shared" si="18"/>
        <v>171.13886508952743</v>
      </c>
      <c r="N185">
        <v>115</v>
      </c>
    </row>
    <row r="186" spans="2:14" x14ac:dyDescent="0.2">
      <c r="B186" s="18" t="s">
        <v>1372</v>
      </c>
      <c r="C186" s="20">
        <v>7.375</v>
      </c>
      <c r="D186" s="19">
        <v>1.1875</v>
      </c>
      <c r="E186" s="20">
        <v>12.75</v>
      </c>
      <c r="F186" s="19">
        <v>1.875</v>
      </c>
      <c r="G186" s="20">
        <v>2.625</v>
      </c>
      <c r="H186" s="20">
        <v>1.25</v>
      </c>
      <c r="I186" s="20" t="s">
        <v>1008</v>
      </c>
      <c r="J186" s="19" t="s">
        <v>1008</v>
      </c>
      <c r="K186" s="123">
        <f t="shared" si="19"/>
        <v>3.3541666666666665</v>
      </c>
      <c r="L186" s="281">
        <f t="shared" si="20"/>
        <v>1.0223500015539722</v>
      </c>
      <c r="M186" s="281">
        <f t="shared" si="18"/>
        <v>156.25722464695983</v>
      </c>
      <c r="N186">
        <v>105</v>
      </c>
    </row>
    <row r="187" spans="2:14" x14ac:dyDescent="0.2">
      <c r="B187" s="18" t="s">
        <v>1373</v>
      </c>
      <c r="C187" s="20">
        <v>7.25</v>
      </c>
      <c r="D187" s="133">
        <v>1.0625</v>
      </c>
      <c r="E187" s="134">
        <v>12.625</v>
      </c>
      <c r="F187" s="133">
        <v>1.75</v>
      </c>
      <c r="G187" s="134">
        <v>2.4375</v>
      </c>
      <c r="H187" s="134">
        <v>1.1875</v>
      </c>
      <c r="I187" s="134" t="s">
        <v>1008</v>
      </c>
      <c r="J187" s="133" t="s">
        <v>1008</v>
      </c>
      <c r="K187" s="123">
        <f t="shared" si="19"/>
        <v>3.3125</v>
      </c>
      <c r="L187" s="281">
        <f t="shared" si="20"/>
        <v>1.0096500015346681</v>
      </c>
      <c r="M187" s="281">
        <f t="shared" si="18"/>
        <v>141.37558420439223</v>
      </c>
      <c r="N187">
        <v>95</v>
      </c>
    </row>
    <row r="188" spans="2:14" x14ac:dyDescent="0.2">
      <c r="B188" s="18" t="s">
        <v>1374</v>
      </c>
      <c r="C188" s="20">
        <v>7</v>
      </c>
      <c r="D188" s="19">
        <v>0.9375</v>
      </c>
      <c r="E188" s="20">
        <v>12.625</v>
      </c>
      <c r="F188" s="19">
        <v>1.5625</v>
      </c>
      <c r="G188" s="20">
        <v>2.25</v>
      </c>
      <c r="H188" s="20">
        <v>1.125</v>
      </c>
      <c r="I188" s="20" t="s">
        <v>1008</v>
      </c>
      <c r="J188" s="19" t="s">
        <v>1008</v>
      </c>
      <c r="K188" s="123">
        <f t="shared" si="19"/>
        <v>3.2708333333333335</v>
      </c>
      <c r="L188" s="281">
        <f t="shared" si="20"/>
        <v>0.99695000151536417</v>
      </c>
      <c r="M188" s="281">
        <f t="shared" si="18"/>
        <v>126.49394376182461</v>
      </c>
      <c r="N188">
        <v>85</v>
      </c>
    </row>
    <row r="189" spans="2:14" x14ac:dyDescent="0.2">
      <c r="B189" s="18" t="s">
        <v>1375</v>
      </c>
      <c r="C189" s="20">
        <v>6.875</v>
      </c>
      <c r="D189" s="133">
        <v>0.875</v>
      </c>
      <c r="E189" s="134">
        <v>12.5</v>
      </c>
      <c r="F189" s="133">
        <v>1.375</v>
      </c>
      <c r="G189" s="134">
        <v>2.125</v>
      </c>
      <c r="H189" s="134">
        <v>1.0625</v>
      </c>
      <c r="I189" s="134" t="s">
        <v>1008</v>
      </c>
      <c r="J189" s="133" t="s">
        <v>1008</v>
      </c>
      <c r="K189" s="123">
        <f t="shared" si="19"/>
        <v>3.2291666666666665</v>
      </c>
      <c r="L189" s="281">
        <f t="shared" si="20"/>
        <v>0.98425000149606012</v>
      </c>
      <c r="M189" s="281">
        <f t="shared" si="18"/>
        <v>113.10046736351376</v>
      </c>
      <c r="N189">
        <v>76</v>
      </c>
    </row>
    <row r="190" spans="2:14" x14ac:dyDescent="0.2">
      <c r="B190" s="18" t="s">
        <v>1376</v>
      </c>
      <c r="C190" s="20">
        <v>6.75</v>
      </c>
      <c r="D190" s="19">
        <v>0.8125</v>
      </c>
      <c r="E190" s="20">
        <v>12.375</v>
      </c>
      <c r="F190" s="19">
        <v>1.25</v>
      </c>
      <c r="G190" s="20">
        <v>1.9375</v>
      </c>
      <c r="H190" s="20">
        <v>1</v>
      </c>
      <c r="I190" s="20" t="s">
        <v>1008</v>
      </c>
      <c r="J190" s="19" t="s">
        <v>1008</v>
      </c>
      <c r="K190" s="123">
        <f t="shared" si="19"/>
        <v>3.1875</v>
      </c>
      <c r="L190" s="281">
        <f t="shared" si="20"/>
        <v>0.97155000147675608</v>
      </c>
      <c r="M190" s="281">
        <f t="shared" si="18"/>
        <v>101.1951550094597</v>
      </c>
      <c r="N190">
        <v>68</v>
      </c>
    </row>
    <row r="191" spans="2:14" x14ac:dyDescent="0.2">
      <c r="B191" s="18" t="s">
        <v>1377</v>
      </c>
      <c r="C191" s="20">
        <v>6.5</v>
      </c>
      <c r="D191" s="133">
        <v>0.6875</v>
      </c>
      <c r="E191" s="134">
        <v>12.375</v>
      </c>
      <c r="F191" s="133">
        <v>1.125</v>
      </c>
      <c r="G191" s="134">
        <v>1.8125</v>
      </c>
      <c r="H191" s="134">
        <v>1</v>
      </c>
      <c r="I191" s="134">
        <v>5.5</v>
      </c>
      <c r="J191" s="133">
        <v>3</v>
      </c>
      <c r="K191" s="123">
        <f t="shared" si="19"/>
        <v>3.1458333333333335</v>
      </c>
      <c r="L191" s="281">
        <f t="shared" si="20"/>
        <v>0.95885000145745203</v>
      </c>
      <c r="M191" s="281">
        <f t="shared" si="18"/>
        <v>89.289842655405593</v>
      </c>
      <c r="N191">
        <v>60</v>
      </c>
    </row>
    <row r="192" spans="2:14" x14ac:dyDescent="0.2">
      <c r="B192" s="18" t="s">
        <v>1378</v>
      </c>
      <c r="C192" s="20">
        <v>6.5</v>
      </c>
      <c r="D192" s="19">
        <v>0.625</v>
      </c>
      <c r="E192" s="20">
        <v>12.25</v>
      </c>
      <c r="F192" s="19">
        <v>1</v>
      </c>
      <c r="G192" s="20">
        <v>1.6875</v>
      </c>
      <c r="H192" s="20">
        <v>0.9375</v>
      </c>
      <c r="I192" s="20">
        <v>5.5</v>
      </c>
      <c r="J192" s="19">
        <v>3</v>
      </c>
      <c r="K192" s="123">
        <f t="shared" si="19"/>
        <v>3.125</v>
      </c>
      <c r="L192" s="281">
        <f t="shared" si="20"/>
        <v>0.95250000144780012</v>
      </c>
      <c r="M192" s="281">
        <f t="shared" si="18"/>
        <v>78.872694345608281</v>
      </c>
      <c r="N192">
        <v>53</v>
      </c>
    </row>
    <row r="193" spans="2:14" x14ac:dyDescent="0.2">
      <c r="B193" s="18" t="s">
        <v>1379</v>
      </c>
      <c r="C193" s="20">
        <v>6.375</v>
      </c>
      <c r="D193" s="133">
        <v>0.5625</v>
      </c>
      <c r="E193" s="134">
        <v>12.125</v>
      </c>
      <c r="F193" s="133">
        <v>0.875</v>
      </c>
      <c r="G193" s="134">
        <v>1.625</v>
      </c>
      <c r="H193" s="134">
        <v>0.875</v>
      </c>
      <c r="I193" s="134">
        <v>5.5</v>
      </c>
      <c r="J193" s="133">
        <v>3</v>
      </c>
      <c r="K193" s="123">
        <f t="shared" si="19"/>
        <v>3.0833333333333335</v>
      </c>
      <c r="L193" s="281">
        <f t="shared" si="20"/>
        <v>0.93980000142849618</v>
      </c>
      <c r="M193" s="281">
        <f t="shared" si="18"/>
        <v>71.43187412432448</v>
      </c>
      <c r="N193">
        <v>48</v>
      </c>
    </row>
    <row r="194" spans="2:14" x14ac:dyDescent="0.2">
      <c r="B194" s="18" t="s">
        <v>1380</v>
      </c>
      <c r="C194" s="20">
        <v>6.25</v>
      </c>
      <c r="D194" s="19">
        <v>0.5</v>
      </c>
      <c r="E194" s="20">
        <v>12.125</v>
      </c>
      <c r="F194" s="19">
        <v>0.8125</v>
      </c>
      <c r="G194" s="20">
        <v>1.5</v>
      </c>
      <c r="H194" s="20">
        <v>0.875</v>
      </c>
      <c r="I194" s="20">
        <v>5.5</v>
      </c>
      <c r="J194" s="19">
        <v>2.75</v>
      </c>
      <c r="K194" s="123">
        <f t="shared" si="19"/>
        <v>3.0625</v>
      </c>
      <c r="L194" s="281">
        <f t="shared" si="20"/>
        <v>0.93345000141884404</v>
      </c>
      <c r="M194" s="281">
        <f t="shared" si="18"/>
        <v>64.735135925169061</v>
      </c>
      <c r="N194">
        <v>43.5</v>
      </c>
    </row>
    <row r="195" spans="2:14" x14ac:dyDescent="0.2">
      <c r="B195" s="18" t="s">
        <v>1381</v>
      </c>
      <c r="C195" s="20">
        <v>6.25</v>
      </c>
      <c r="D195" s="133">
        <v>0.5</v>
      </c>
      <c r="E195" s="134">
        <v>12.125</v>
      </c>
      <c r="F195" s="133">
        <v>0.75</v>
      </c>
      <c r="G195" s="134">
        <v>1.4375</v>
      </c>
      <c r="H195" s="134">
        <v>0.875</v>
      </c>
      <c r="I195" s="134">
        <v>5.5</v>
      </c>
      <c r="J195" s="133">
        <v>2.75</v>
      </c>
      <c r="K195" s="123">
        <f t="shared" si="19"/>
        <v>3.0625</v>
      </c>
      <c r="L195" s="281">
        <f t="shared" si="20"/>
        <v>0.93345000141884404</v>
      </c>
      <c r="M195" s="281">
        <f t="shared" si="18"/>
        <v>58.782479748142023</v>
      </c>
      <c r="N195">
        <v>39.5</v>
      </c>
    </row>
    <row r="196" spans="2:14" x14ac:dyDescent="0.2">
      <c r="B196" s="18" t="s">
        <v>1382</v>
      </c>
      <c r="C196" s="20">
        <v>6.125</v>
      </c>
      <c r="D196" s="19">
        <v>0.4375</v>
      </c>
      <c r="E196" s="20">
        <v>12</v>
      </c>
      <c r="F196" s="19">
        <v>0.6875</v>
      </c>
      <c r="G196" s="20">
        <v>1.375</v>
      </c>
      <c r="H196" s="20">
        <v>0.875</v>
      </c>
      <c r="I196" s="20">
        <v>5.5</v>
      </c>
      <c r="J196" s="19">
        <v>2.75</v>
      </c>
      <c r="K196" s="123">
        <f t="shared" si="19"/>
        <v>3.0208333333333335</v>
      </c>
      <c r="L196" s="281">
        <f t="shared" si="20"/>
        <v>0.92075000139954022</v>
      </c>
      <c r="M196" s="281">
        <f t="shared" si="18"/>
        <v>53.57390559324336</v>
      </c>
      <c r="N196">
        <v>36</v>
      </c>
    </row>
    <row r="197" spans="2:14" x14ac:dyDescent="0.2">
      <c r="B197" s="191" t="s">
        <v>1383</v>
      </c>
      <c r="C197" s="22">
        <v>6</v>
      </c>
      <c r="D197" s="21">
        <v>0.375</v>
      </c>
      <c r="E197" s="22">
        <v>12</v>
      </c>
      <c r="F197" s="21">
        <v>0.625</v>
      </c>
      <c r="G197" s="22">
        <v>1.3125</v>
      </c>
      <c r="H197" s="22">
        <v>0.8125</v>
      </c>
      <c r="I197" s="22">
        <v>5.5</v>
      </c>
      <c r="J197" s="21">
        <v>2.5</v>
      </c>
      <c r="K197" s="320">
        <f t="shared" si="19"/>
        <v>3</v>
      </c>
      <c r="L197" s="340">
        <f t="shared" si="20"/>
        <v>0.91440000138988808</v>
      </c>
      <c r="M197" s="340">
        <f t="shared" si="18"/>
        <v>48.365331438344704</v>
      </c>
      <c r="N197">
        <v>32.5</v>
      </c>
    </row>
    <row r="198" spans="2:14" x14ac:dyDescent="0.2">
      <c r="B198" s="314"/>
      <c r="C198" s="322"/>
      <c r="D198" s="322"/>
      <c r="E198" s="322"/>
      <c r="F198" s="322"/>
      <c r="G198" s="322"/>
      <c r="H198" s="322"/>
      <c r="I198" s="322"/>
      <c r="J198" s="322"/>
      <c r="K198" s="322" t="s">
        <v>899</v>
      </c>
      <c r="L198" s="322" t="s">
        <v>899</v>
      </c>
      <c r="M198" s="319">
        <f t="shared" si="18"/>
        <v>0</v>
      </c>
    </row>
    <row r="199" spans="2:14" x14ac:dyDescent="0.2">
      <c r="B199" s="159" t="s">
        <v>1384</v>
      </c>
      <c r="C199" s="160">
        <v>6.125</v>
      </c>
      <c r="D199" s="135">
        <v>0.375</v>
      </c>
      <c r="E199" s="160">
        <v>10</v>
      </c>
      <c r="F199" s="135">
        <v>0.625</v>
      </c>
      <c r="G199" s="160">
        <v>1.375</v>
      </c>
      <c r="H199" s="160">
        <v>0.8125</v>
      </c>
      <c r="I199" s="160">
        <v>5.5</v>
      </c>
      <c r="J199" s="135">
        <v>2.75</v>
      </c>
      <c r="K199" s="123">
        <f>((C199-(F199*1))*2+(E199*2)+(F199*2))*12/144</f>
        <v>2.6875</v>
      </c>
      <c r="L199" s="281">
        <f>K199*3.2808399*0.09290304</f>
        <v>0.81915000124510806</v>
      </c>
      <c r="M199" s="281">
        <f t="shared" si="18"/>
        <v>43.156757283446041</v>
      </c>
      <c r="N199">
        <v>29</v>
      </c>
    </row>
    <row r="200" spans="2:14" x14ac:dyDescent="0.2">
      <c r="B200" s="191" t="s">
        <v>1385</v>
      </c>
      <c r="C200" s="22">
        <v>6</v>
      </c>
      <c r="D200" s="21">
        <v>0.375</v>
      </c>
      <c r="E200" s="22">
        <v>10</v>
      </c>
      <c r="F200" s="21">
        <v>0.5625</v>
      </c>
      <c r="G200" s="22">
        <v>1.25</v>
      </c>
      <c r="H200" s="22">
        <v>0.8125</v>
      </c>
      <c r="I200" s="22">
        <v>5.5</v>
      </c>
      <c r="J200" s="21">
        <v>2.5</v>
      </c>
      <c r="K200" s="320">
        <f>((C200-(F200*1))*2+(E200*2)+(F200*2))*12/144</f>
        <v>2.6666666666666665</v>
      </c>
      <c r="L200" s="340">
        <f>K200*3.2808399*0.09290304</f>
        <v>0.81280000123545593</v>
      </c>
      <c r="M200" s="340">
        <f t="shared" si="18"/>
        <v>39.43634717280414</v>
      </c>
      <c r="N200">
        <v>26.5</v>
      </c>
    </row>
    <row r="201" spans="2:14" x14ac:dyDescent="0.2">
      <c r="B201" s="314"/>
      <c r="C201" s="322"/>
      <c r="D201" s="322"/>
      <c r="E201" s="322"/>
      <c r="F201" s="322"/>
      <c r="G201" s="322"/>
      <c r="H201" s="322"/>
      <c r="I201" s="322"/>
      <c r="J201" s="322"/>
      <c r="K201" s="322"/>
      <c r="L201" s="322"/>
      <c r="M201" s="319"/>
    </row>
    <row r="202" spans="2:14" x14ac:dyDescent="0.2">
      <c r="B202" s="159" t="s">
        <v>1386</v>
      </c>
      <c r="C202" s="160">
        <v>6.125</v>
      </c>
      <c r="D202" s="135">
        <v>0.375</v>
      </c>
      <c r="E202" s="160">
        <v>8.125</v>
      </c>
      <c r="F202" s="135">
        <v>0.625</v>
      </c>
      <c r="G202" s="160">
        <v>1.375</v>
      </c>
      <c r="H202" s="160">
        <v>0.8125</v>
      </c>
      <c r="I202" s="160">
        <v>5.5</v>
      </c>
      <c r="J202" s="135">
        <v>2.75</v>
      </c>
      <c r="K202" s="123">
        <f>((C202-(F202*1))*2+(E202*2)+(F202*2))*12/144</f>
        <v>2.375</v>
      </c>
      <c r="L202" s="281">
        <f>K202*3.2808399*0.09290304</f>
        <v>0.72390000110032804</v>
      </c>
      <c r="M202" s="281">
        <f t="shared" si="18"/>
        <v>37.204101106419003</v>
      </c>
      <c r="N202">
        <v>25</v>
      </c>
    </row>
    <row r="203" spans="2:14" x14ac:dyDescent="0.2">
      <c r="B203" s="18" t="s">
        <v>1387</v>
      </c>
      <c r="C203" s="20">
        <v>6</v>
      </c>
      <c r="D203" s="133">
        <v>0.3125</v>
      </c>
      <c r="E203" s="134">
        <v>8</v>
      </c>
      <c r="F203" s="133">
        <v>0.5625</v>
      </c>
      <c r="G203" s="134">
        <v>1.25</v>
      </c>
      <c r="H203" s="134">
        <v>0.8125</v>
      </c>
      <c r="I203" s="134">
        <v>5.5</v>
      </c>
      <c r="J203" s="133">
        <v>2.5</v>
      </c>
      <c r="K203" s="123">
        <f>((C203-(F203*1))*2+(E203*2)+(F203*2))*12/144</f>
        <v>2.3333333333333335</v>
      </c>
      <c r="L203" s="281">
        <f>K203*3.2808399*0.09290304</f>
        <v>0.7112000010810241</v>
      </c>
      <c r="M203" s="281">
        <f t="shared" si="18"/>
        <v>33.483690995777103</v>
      </c>
      <c r="N203">
        <v>22.5</v>
      </c>
    </row>
    <row r="204" spans="2:14" x14ac:dyDescent="0.2">
      <c r="B204" s="191" t="s">
        <v>1388</v>
      </c>
      <c r="C204" s="22">
        <v>6</v>
      </c>
      <c r="D204" s="21">
        <v>0.3125</v>
      </c>
      <c r="E204" s="22">
        <v>8</v>
      </c>
      <c r="F204" s="21">
        <v>0.5</v>
      </c>
      <c r="G204" s="22">
        <v>1.25</v>
      </c>
      <c r="H204" s="22">
        <v>0.75</v>
      </c>
      <c r="I204" s="22">
        <v>5.5</v>
      </c>
      <c r="J204" s="21">
        <v>2.5</v>
      </c>
      <c r="K204" s="320">
        <f>((C204-(F204*1))*2+(E204*2)+(F204*2))*12/144</f>
        <v>2.3333333333333335</v>
      </c>
      <c r="L204" s="340">
        <f>K204*3.2808399*0.09290304</f>
        <v>0.7112000010810241</v>
      </c>
      <c r="M204" s="340">
        <f t="shared" si="18"/>
        <v>29.763280885135202</v>
      </c>
      <c r="N204">
        <v>20</v>
      </c>
    </row>
    <row r="205" spans="2:14" x14ac:dyDescent="0.2">
      <c r="B205" s="314"/>
      <c r="C205" s="322"/>
      <c r="D205" s="322"/>
      <c r="E205" s="322"/>
      <c r="F205" s="322"/>
      <c r="G205" s="322"/>
      <c r="H205" s="322"/>
      <c r="I205" s="322"/>
      <c r="J205" s="322"/>
      <c r="K205" s="322"/>
      <c r="L205" s="322"/>
      <c r="M205" s="319"/>
    </row>
    <row r="206" spans="2:14" x14ac:dyDescent="0.2">
      <c r="B206" s="159" t="s">
        <v>1389</v>
      </c>
      <c r="C206" s="160">
        <v>6.25</v>
      </c>
      <c r="D206" s="133">
        <v>0.3125</v>
      </c>
      <c r="E206" s="134">
        <v>6.5</v>
      </c>
      <c r="F206" s="133">
        <v>0.5</v>
      </c>
      <c r="G206" s="134">
        <v>1</v>
      </c>
      <c r="H206" s="134">
        <v>0.5625</v>
      </c>
      <c r="I206" s="134">
        <v>3.5</v>
      </c>
      <c r="J206" s="133">
        <v>2.5</v>
      </c>
      <c r="K206" s="123">
        <f>((C206-(F206*1))*2+(E206*2)+(F206*2))*12/144</f>
        <v>2.125</v>
      </c>
      <c r="L206" s="281">
        <f>K206*3.2808399*0.09290304</f>
        <v>0.64770000098450409</v>
      </c>
      <c r="M206" s="281">
        <f t="shared" si="18"/>
        <v>26.042870774493302</v>
      </c>
      <c r="N206">
        <v>17.5</v>
      </c>
    </row>
    <row r="207" spans="2:14" x14ac:dyDescent="0.2">
      <c r="B207" s="18" t="s">
        <v>1390</v>
      </c>
      <c r="C207" s="20">
        <v>6.125</v>
      </c>
      <c r="D207" s="19">
        <v>0.25</v>
      </c>
      <c r="E207" s="20">
        <v>6.5</v>
      </c>
      <c r="F207" s="19">
        <v>0.4375</v>
      </c>
      <c r="G207" s="20">
        <v>0.9375</v>
      </c>
      <c r="H207" s="20">
        <v>0.5</v>
      </c>
      <c r="I207" s="20">
        <v>3.5</v>
      </c>
      <c r="J207" s="19">
        <v>2.5</v>
      </c>
      <c r="K207" s="123">
        <f>((C207-(F207*1))*2+(E207*2)+(F207*2))*12/144</f>
        <v>2.1041666666666665</v>
      </c>
      <c r="L207" s="281">
        <f>K207*3.2808399*0.09290304</f>
        <v>0.64135000097485206</v>
      </c>
      <c r="M207" s="281">
        <f t="shared" si="18"/>
        <v>22.322460663851398</v>
      </c>
      <c r="N207">
        <v>15</v>
      </c>
    </row>
    <row r="208" spans="2:14" x14ac:dyDescent="0.2">
      <c r="B208" s="191" t="s">
        <v>1391</v>
      </c>
      <c r="C208" s="22">
        <v>6.125</v>
      </c>
      <c r="D208" s="21">
        <v>0.25</v>
      </c>
      <c r="E208" s="22">
        <v>6.5</v>
      </c>
      <c r="F208" s="21">
        <v>0.375</v>
      </c>
      <c r="G208" s="22">
        <v>0.875</v>
      </c>
      <c r="H208" s="22">
        <v>0.5</v>
      </c>
      <c r="I208" s="22">
        <v>3.5</v>
      </c>
      <c r="J208" s="21">
        <v>2.5</v>
      </c>
      <c r="K208" s="320">
        <f>((C208-(F208*1))*2+(E208*2)+(F208*2))*12/144</f>
        <v>2.1041666666666665</v>
      </c>
      <c r="L208" s="340">
        <f>K208*3.2808399*0.09290304</f>
        <v>0.64135000097485206</v>
      </c>
      <c r="M208" s="340">
        <f t="shared" si="18"/>
        <v>19.346132575337883</v>
      </c>
      <c r="N208">
        <v>13</v>
      </c>
    </row>
    <row r="209" spans="2:14" x14ac:dyDescent="0.2">
      <c r="B209" s="314"/>
      <c r="C209" s="322"/>
      <c r="D209" s="322"/>
      <c r="E209" s="322"/>
      <c r="F209" s="322"/>
      <c r="G209" s="322"/>
      <c r="H209" s="322"/>
      <c r="I209" s="322"/>
      <c r="J209" s="322"/>
      <c r="K209" s="322"/>
      <c r="L209" s="322"/>
      <c r="M209" s="319"/>
    </row>
    <row r="210" spans="2:14" x14ac:dyDescent="0.2">
      <c r="B210" s="159" t="s">
        <v>1392</v>
      </c>
      <c r="C210" s="160">
        <v>6.125</v>
      </c>
      <c r="D210" s="135">
        <v>0.25</v>
      </c>
      <c r="E210" s="160">
        <v>4</v>
      </c>
      <c r="F210" s="135">
        <v>0.4375</v>
      </c>
      <c r="G210" s="160">
        <v>0.875</v>
      </c>
      <c r="H210" s="160">
        <v>0.5</v>
      </c>
      <c r="I210" s="160">
        <v>2.25</v>
      </c>
      <c r="J210" s="135">
        <v>2.5</v>
      </c>
      <c r="K210" s="123">
        <f>((C210-(F210*1))*2+(E210*2)+(F210*2))*12/144</f>
        <v>1.6875</v>
      </c>
      <c r="L210" s="281">
        <f>K210*3.2808399*0.09290304</f>
        <v>0.51435000078181203</v>
      </c>
      <c r="M210" s="281">
        <f t="shared" si="18"/>
        <v>16.369804486824361</v>
      </c>
      <c r="N210">
        <v>11</v>
      </c>
    </row>
    <row r="211" spans="2:14" x14ac:dyDescent="0.2">
      <c r="B211" s="18" t="s">
        <v>1393</v>
      </c>
      <c r="C211" s="20">
        <v>6.125</v>
      </c>
      <c r="D211" s="133">
        <v>0.25</v>
      </c>
      <c r="E211" s="134">
        <v>4</v>
      </c>
      <c r="F211" s="133">
        <v>0.375</v>
      </c>
      <c r="G211" s="134">
        <v>0.8125</v>
      </c>
      <c r="H211" s="134">
        <v>0.5</v>
      </c>
      <c r="I211" s="134">
        <v>2.25</v>
      </c>
      <c r="J211" s="133">
        <v>2.25</v>
      </c>
      <c r="K211" s="123">
        <f>((C211-(F211*1))*2+(E211*2)+(F211*2))*12/144</f>
        <v>1.6875</v>
      </c>
      <c r="L211" s="281">
        <f>K211*3.2808399*0.09290304</f>
        <v>0.51435000078181203</v>
      </c>
      <c r="M211" s="281">
        <f t="shared" ref="M211:M265" si="21">N211*3.2808399*0.4535924</f>
        <v>14.13755842043922</v>
      </c>
      <c r="N211">
        <v>9.5</v>
      </c>
    </row>
    <row r="212" spans="2:14" x14ac:dyDescent="0.2">
      <c r="B212" s="18" t="s">
        <v>1394</v>
      </c>
      <c r="C212" s="20">
        <v>6</v>
      </c>
      <c r="D212" s="19">
        <v>0.25</v>
      </c>
      <c r="E212" s="20">
        <v>4</v>
      </c>
      <c r="F212" s="19">
        <v>0.25</v>
      </c>
      <c r="G212" s="20">
        <v>0.75</v>
      </c>
      <c r="H212" s="20">
        <v>0.5</v>
      </c>
      <c r="I212" s="20">
        <v>2.25</v>
      </c>
      <c r="J212" s="19">
        <v>2.25</v>
      </c>
      <c r="K212" s="123">
        <f>((C212-(F212*1))*2+(E212*2)+(F212*2))*12/144</f>
        <v>1.6666666666666667</v>
      </c>
      <c r="L212" s="281">
        <f>K212*3.2808399*0.09290304</f>
        <v>0.50800000077216012</v>
      </c>
      <c r="M212" s="281">
        <f t="shared" si="21"/>
        <v>11.905312354054081</v>
      </c>
      <c r="N212">
        <v>8</v>
      </c>
    </row>
    <row r="213" spans="2:14" x14ac:dyDescent="0.2">
      <c r="B213" s="191" t="s">
        <v>1395</v>
      </c>
      <c r="C213" s="22">
        <v>6</v>
      </c>
      <c r="D213" s="133">
        <v>0.1875</v>
      </c>
      <c r="E213" s="134">
        <v>4</v>
      </c>
      <c r="F213" s="133">
        <v>0.25</v>
      </c>
      <c r="G213" s="134">
        <v>0.6875</v>
      </c>
      <c r="H213" s="134">
        <v>0.5</v>
      </c>
      <c r="I213" s="134">
        <v>2.25</v>
      </c>
      <c r="J213" s="133">
        <v>2.25</v>
      </c>
      <c r="K213" s="320">
        <f>((C213-(F213*1))*2+(E213*2)+(F213*2))*12/144</f>
        <v>1.6666666666666667</v>
      </c>
      <c r="L213" s="340">
        <f>K213*3.2808399*0.09290304</f>
        <v>0.50800000077216012</v>
      </c>
      <c r="M213" s="340">
        <f t="shared" si="21"/>
        <v>10.417148309797321</v>
      </c>
      <c r="N213">
        <v>7</v>
      </c>
    </row>
    <row r="214" spans="2:14" x14ac:dyDescent="0.2">
      <c r="B214" s="314"/>
      <c r="C214" s="322"/>
      <c r="D214" s="322"/>
      <c r="E214" s="322"/>
      <c r="F214" s="322"/>
      <c r="G214" s="322"/>
      <c r="H214" s="322"/>
      <c r="I214" s="322"/>
      <c r="J214" s="322"/>
      <c r="K214" s="322"/>
      <c r="L214" s="322"/>
      <c r="M214" s="319"/>
    </row>
    <row r="215" spans="2:14" x14ac:dyDescent="0.2">
      <c r="B215" s="159" t="s">
        <v>1396</v>
      </c>
      <c r="C215" s="160">
        <v>5.625</v>
      </c>
      <c r="D215" s="133">
        <v>0.75</v>
      </c>
      <c r="E215" s="134">
        <v>10.375</v>
      </c>
      <c r="F215" s="133">
        <v>1.25</v>
      </c>
      <c r="G215" s="134">
        <v>1.875</v>
      </c>
      <c r="H215" s="134">
        <v>0.9375</v>
      </c>
      <c r="I215" s="134" t="s">
        <v>1008</v>
      </c>
      <c r="J215" s="133" t="s">
        <v>1008</v>
      </c>
      <c r="K215" s="123">
        <f t="shared" ref="K215:K222" si="22">((C215-(F215*1))*2+(E215*2)+(F215*2))*12/144</f>
        <v>2.6666666666666665</v>
      </c>
      <c r="L215" s="281">
        <f t="shared" ref="L215:L222" si="23">K215*3.2808399*0.09290304</f>
        <v>0.81280000123545593</v>
      </c>
      <c r="M215" s="281">
        <f t="shared" si="21"/>
        <v>83.33718647837857</v>
      </c>
      <c r="N215">
        <v>56</v>
      </c>
    </row>
    <row r="216" spans="2:14" x14ac:dyDescent="0.2">
      <c r="B216" s="18" t="s">
        <v>1397</v>
      </c>
      <c r="C216" s="20">
        <v>5.5</v>
      </c>
      <c r="D216" s="19">
        <v>0.6875</v>
      </c>
      <c r="E216" s="20">
        <v>10.375</v>
      </c>
      <c r="F216" s="19">
        <v>1.125</v>
      </c>
      <c r="G216" s="20">
        <v>1.75</v>
      </c>
      <c r="H216" s="20">
        <v>0.875</v>
      </c>
      <c r="I216" s="20" t="s">
        <v>1008</v>
      </c>
      <c r="J216" s="19" t="s">
        <v>1008</v>
      </c>
      <c r="K216" s="123">
        <f t="shared" si="22"/>
        <v>2.6458333333333335</v>
      </c>
      <c r="L216" s="281">
        <f t="shared" si="23"/>
        <v>0.80645000122580401</v>
      </c>
      <c r="M216" s="281">
        <f t="shared" si="21"/>
        <v>74.408202212838006</v>
      </c>
      <c r="N216">
        <v>50</v>
      </c>
    </row>
    <row r="217" spans="2:14" x14ac:dyDescent="0.2">
      <c r="B217" s="18" t="s">
        <v>1398</v>
      </c>
      <c r="C217" s="20">
        <v>5.375</v>
      </c>
      <c r="D217" s="133">
        <v>0.625</v>
      </c>
      <c r="E217" s="134">
        <v>10.25</v>
      </c>
      <c r="F217" s="133">
        <v>1</v>
      </c>
      <c r="G217" s="134">
        <v>1.625</v>
      </c>
      <c r="H217" s="134">
        <v>0.8125</v>
      </c>
      <c r="I217" s="134">
        <v>5.5</v>
      </c>
      <c r="J217" s="133">
        <v>2.75</v>
      </c>
      <c r="K217" s="123">
        <f t="shared" si="22"/>
        <v>2.6041666666666665</v>
      </c>
      <c r="L217" s="281">
        <f t="shared" si="23"/>
        <v>0.79375000120650008</v>
      </c>
      <c r="M217" s="281">
        <f t="shared" si="21"/>
        <v>65.479217947297442</v>
      </c>
      <c r="N217">
        <v>44</v>
      </c>
    </row>
    <row r="218" spans="2:14" x14ac:dyDescent="0.2">
      <c r="B218" s="18" t="s">
        <v>1399</v>
      </c>
      <c r="C218" s="20">
        <v>5.25</v>
      </c>
      <c r="D218" s="19">
        <v>0.5</v>
      </c>
      <c r="E218" s="20">
        <v>10.25</v>
      </c>
      <c r="F218" s="19">
        <v>0.875</v>
      </c>
      <c r="G218" s="20">
        <v>1.5</v>
      </c>
      <c r="H218" s="20">
        <v>0.8125</v>
      </c>
      <c r="I218" s="20">
        <v>5.5</v>
      </c>
      <c r="J218" s="19">
        <v>2.75</v>
      </c>
      <c r="K218" s="123">
        <f t="shared" si="22"/>
        <v>2.5833333333333335</v>
      </c>
      <c r="L218" s="281">
        <f t="shared" si="23"/>
        <v>0.78740000119684816</v>
      </c>
      <c r="M218" s="281">
        <f t="shared" si="21"/>
        <v>57.294315703885268</v>
      </c>
      <c r="N218">
        <v>38.5</v>
      </c>
    </row>
    <row r="219" spans="2:14" x14ac:dyDescent="0.2">
      <c r="B219" s="18" t="s">
        <v>1400</v>
      </c>
      <c r="C219" s="20">
        <v>5.25</v>
      </c>
      <c r="D219" s="133">
        <v>0.5</v>
      </c>
      <c r="E219" s="134">
        <v>10.125</v>
      </c>
      <c r="F219" s="133">
        <v>0.75</v>
      </c>
      <c r="G219" s="134">
        <v>1.375</v>
      </c>
      <c r="H219" s="134">
        <v>0.75</v>
      </c>
      <c r="I219" s="134">
        <v>5.5</v>
      </c>
      <c r="J219" s="133">
        <v>2.75</v>
      </c>
      <c r="K219" s="123">
        <f t="shared" si="22"/>
        <v>2.5625</v>
      </c>
      <c r="L219" s="281">
        <f t="shared" si="23"/>
        <v>0.78105000118719603</v>
      </c>
      <c r="M219" s="281">
        <f t="shared" si="21"/>
        <v>50.597577504729848</v>
      </c>
      <c r="N219">
        <v>34</v>
      </c>
    </row>
    <row r="220" spans="2:14" x14ac:dyDescent="0.2">
      <c r="B220" s="18" t="s">
        <v>1401</v>
      </c>
      <c r="C220" s="20">
        <v>5.125</v>
      </c>
      <c r="D220" s="19">
        <v>0.4375</v>
      </c>
      <c r="E220" s="20">
        <v>10.125</v>
      </c>
      <c r="F220" s="19">
        <v>0.6875</v>
      </c>
      <c r="G220" s="20">
        <v>1.3125</v>
      </c>
      <c r="H220" s="20">
        <v>0.75</v>
      </c>
      <c r="I220" s="20">
        <v>5.5</v>
      </c>
      <c r="J220" s="19">
        <v>2.5</v>
      </c>
      <c r="K220" s="123">
        <f t="shared" si="22"/>
        <v>2.5416666666666665</v>
      </c>
      <c r="L220" s="281">
        <f t="shared" si="23"/>
        <v>0.77470000117754412</v>
      </c>
      <c r="M220" s="281">
        <f t="shared" si="21"/>
        <v>44.644921327702797</v>
      </c>
      <c r="N220">
        <v>30</v>
      </c>
    </row>
    <row r="221" spans="2:14" x14ac:dyDescent="0.2">
      <c r="B221" s="18" t="s">
        <v>1402</v>
      </c>
      <c r="C221" s="20">
        <v>5</v>
      </c>
      <c r="D221" s="133">
        <v>0.375</v>
      </c>
      <c r="E221" s="134">
        <v>10</v>
      </c>
      <c r="F221" s="133">
        <v>0.625</v>
      </c>
      <c r="G221" s="134">
        <v>1.25</v>
      </c>
      <c r="H221" s="134">
        <v>0.6875</v>
      </c>
      <c r="I221" s="134">
        <v>5.5</v>
      </c>
      <c r="J221" s="133">
        <v>2.5</v>
      </c>
      <c r="K221" s="123">
        <f t="shared" si="22"/>
        <v>2.5</v>
      </c>
      <c r="L221" s="281">
        <f t="shared" si="23"/>
        <v>0.76200000115824007</v>
      </c>
      <c r="M221" s="281">
        <f t="shared" si="21"/>
        <v>40.180429194932522</v>
      </c>
      <c r="N221">
        <v>27</v>
      </c>
    </row>
    <row r="222" spans="2:14" x14ac:dyDescent="0.2">
      <c r="B222" s="191" t="s">
        <v>1403</v>
      </c>
      <c r="C222" s="22">
        <v>5</v>
      </c>
      <c r="D222" s="21">
        <v>0.3125</v>
      </c>
      <c r="E222" s="22">
        <v>10</v>
      </c>
      <c r="F222" s="21">
        <v>0.5625</v>
      </c>
      <c r="G222" s="22">
        <v>1.1875</v>
      </c>
      <c r="H222" s="22">
        <v>0.6875</v>
      </c>
      <c r="I222" s="22">
        <v>5.5</v>
      </c>
      <c r="J222" s="21">
        <v>2.5</v>
      </c>
      <c r="K222" s="320">
        <f t="shared" si="22"/>
        <v>2.5</v>
      </c>
      <c r="L222" s="340">
        <f t="shared" si="23"/>
        <v>0.76200000115824007</v>
      </c>
      <c r="M222" s="340">
        <f t="shared" si="21"/>
        <v>36.460019084290622</v>
      </c>
      <c r="N222">
        <v>24.5</v>
      </c>
    </row>
    <row r="223" spans="2:14" x14ac:dyDescent="0.2">
      <c r="B223" s="314"/>
      <c r="C223" s="322"/>
      <c r="D223" s="322"/>
      <c r="E223" s="322"/>
      <c r="F223" s="322"/>
      <c r="G223" s="322"/>
      <c r="H223" s="322"/>
      <c r="I223" s="322"/>
      <c r="J223" s="322"/>
      <c r="K223" s="322"/>
      <c r="L223" s="322"/>
      <c r="M223" s="319"/>
    </row>
    <row r="224" spans="2:14" x14ac:dyDescent="0.2">
      <c r="B224" s="159" t="s">
        <v>1404</v>
      </c>
      <c r="C224" s="160">
        <v>5</v>
      </c>
      <c r="D224" s="133">
        <v>0.375</v>
      </c>
      <c r="E224" s="134">
        <v>8</v>
      </c>
      <c r="F224" s="133">
        <v>0.625</v>
      </c>
      <c r="G224" s="134">
        <v>1.25</v>
      </c>
      <c r="H224" s="134">
        <v>0.6875</v>
      </c>
      <c r="I224" s="134">
        <v>5.5</v>
      </c>
      <c r="J224" s="133">
        <v>2.5</v>
      </c>
      <c r="K224" s="123">
        <f>((C224-(F224*1))*2+(E224*2)+(F224*2))*12/144</f>
        <v>2.1666666666666665</v>
      </c>
      <c r="L224" s="281">
        <f>K224*3.2808399*0.09290304</f>
        <v>0.66040000100380802</v>
      </c>
      <c r="M224" s="281">
        <f t="shared" si="21"/>
        <v>33.483690995777103</v>
      </c>
      <c r="N224">
        <v>22.5</v>
      </c>
    </row>
    <row r="225" spans="2:14" x14ac:dyDescent="0.2">
      <c r="B225" s="18" t="s">
        <v>1405</v>
      </c>
      <c r="C225" s="20">
        <v>5</v>
      </c>
      <c r="D225" s="19">
        <v>0.3125</v>
      </c>
      <c r="E225" s="20">
        <v>8</v>
      </c>
      <c r="F225" s="19">
        <v>0.5</v>
      </c>
      <c r="G225" s="20">
        <v>1.125</v>
      </c>
      <c r="H225" s="20">
        <v>0.6875</v>
      </c>
      <c r="I225" s="20">
        <v>5.5</v>
      </c>
      <c r="J225" s="19">
        <v>2.5</v>
      </c>
      <c r="K225" s="123">
        <f>((C225-(F225*1))*2+(E225*2)+(F225*2))*12/144</f>
        <v>2.1666666666666665</v>
      </c>
      <c r="L225" s="281">
        <f>K225*3.2808399*0.09290304</f>
        <v>0.66040000100380802</v>
      </c>
      <c r="M225" s="281">
        <f t="shared" si="21"/>
        <v>29.019198863006821</v>
      </c>
      <c r="N225">
        <v>19.5</v>
      </c>
    </row>
    <row r="226" spans="2:14" x14ac:dyDescent="0.2">
      <c r="B226" s="191" t="s">
        <v>1406</v>
      </c>
      <c r="C226" s="22">
        <v>4.875</v>
      </c>
      <c r="D226" s="21">
        <v>0.3125</v>
      </c>
      <c r="E226" s="22">
        <v>8</v>
      </c>
      <c r="F226" s="21">
        <v>0.4375</v>
      </c>
      <c r="G226" s="22">
        <v>1.0625</v>
      </c>
      <c r="H226" s="22">
        <v>0.6875</v>
      </c>
      <c r="I226" s="22">
        <v>5.5</v>
      </c>
      <c r="J226" s="21">
        <v>2.25</v>
      </c>
      <c r="K226" s="320">
        <f>((C226-(F226*1))*2+(E226*2)+(F226*2))*12/144</f>
        <v>2.1458333333333335</v>
      </c>
      <c r="L226" s="340">
        <f>K226*3.2808399*0.09290304</f>
        <v>0.65405000099415611</v>
      </c>
      <c r="M226" s="340">
        <f t="shared" si="21"/>
        <v>24.554706730236543</v>
      </c>
      <c r="N226">
        <v>16.5</v>
      </c>
    </row>
    <row r="227" spans="2:14" x14ac:dyDescent="0.2">
      <c r="B227" s="314"/>
      <c r="C227" s="322"/>
      <c r="D227" s="322"/>
      <c r="E227" s="322"/>
      <c r="F227" s="322"/>
      <c r="G227" s="322"/>
      <c r="H227" s="322"/>
      <c r="I227" s="322"/>
      <c r="J227" s="322"/>
      <c r="K227" s="322"/>
      <c r="L227" s="322"/>
      <c r="M227" s="319"/>
    </row>
    <row r="228" spans="2:14" x14ac:dyDescent="0.2">
      <c r="B228" s="159" t="s">
        <v>1407</v>
      </c>
      <c r="C228" s="160">
        <v>5.25</v>
      </c>
      <c r="D228" s="135">
        <v>0.3125</v>
      </c>
      <c r="E228" s="160">
        <v>5.75</v>
      </c>
      <c r="F228" s="135">
        <v>0.5</v>
      </c>
      <c r="G228" s="160">
        <v>0.9375</v>
      </c>
      <c r="H228" s="160">
        <v>0.5</v>
      </c>
      <c r="I228" s="160">
        <v>2.75</v>
      </c>
      <c r="J228" s="135">
        <v>2.5</v>
      </c>
      <c r="K228" s="123">
        <f>((C228-(F228*1))*2+(E228*2)+(F228*2))*12/144</f>
        <v>1.8333333333333333</v>
      </c>
      <c r="L228" s="281">
        <f>K228*3.2808399*0.09290304</f>
        <v>0.55880000084937598</v>
      </c>
      <c r="M228" s="281">
        <f t="shared" si="21"/>
        <v>22.322460663851398</v>
      </c>
      <c r="N228">
        <v>15</v>
      </c>
    </row>
    <row r="229" spans="2:14" x14ac:dyDescent="0.2">
      <c r="B229" s="18" t="s">
        <v>1408</v>
      </c>
      <c r="C229" s="20">
        <v>5.125</v>
      </c>
      <c r="D229" s="133">
        <v>0.25</v>
      </c>
      <c r="E229" s="134">
        <v>5.75</v>
      </c>
      <c r="F229" s="133">
        <v>0.4375</v>
      </c>
      <c r="G229" s="134">
        <v>0.875</v>
      </c>
      <c r="H229" s="134">
        <v>0.5</v>
      </c>
      <c r="I229" s="134">
        <v>2.75</v>
      </c>
      <c r="J229" s="133">
        <v>2.25</v>
      </c>
      <c r="K229" s="123">
        <f>((C229-(F229*1))*2+(E229*2)+(F229*2))*12/144</f>
        <v>1.8125</v>
      </c>
      <c r="L229" s="281">
        <f>K229*3.2808399*0.09290304</f>
        <v>0.55245000083972406</v>
      </c>
      <c r="M229" s="281">
        <f t="shared" si="21"/>
        <v>19.346132575337883</v>
      </c>
      <c r="N229">
        <v>13</v>
      </c>
    </row>
    <row r="230" spans="2:14" x14ac:dyDescent="0.2">
      <c r="B230" s="191" t="s">
        <v>1409</v>
      </c>
      <c r="C230" s="22">
        <v>5.125</v>
      </c>
      <c r="D230" s="21">
        <v>0.25</v>
      </c>
      <c r="E230" s="22">
        <v>5.75</v>
      </c>
      <c r="F230" s="21">
        <v>0.375</v>
      </c>
      <c r="G230" s="22">
        <v>0.75</v>
      </c>
      <c r="H230" s="22">
        <v>0.5</v>
      </c>
      <c r="I230" s="22">
        <v>2.75</v>
      </c>
      <c r="J230" s="21">
        <v>2.25</v>
      </c>
      <c r="K230" s="320">
        <f>((C230-(F230*1))*2+(E230*2)+(F230*2))*12/144</f>
        <v>1.8125</v>
      </c>
      <c r="L230" s="340">
        <f>K230*3.2808399*0.09290304</f>
        <v>0.55245000083972406</v>
      </c>
      <c r="M230" s="340">
        <f t="shared" si="21"/>
        <v>16.369804486824361</v>
      </c>
      <c r="N230">
        <v>11</v>
      </c>
    </row>
    <row r="231" spans="2:14" x14ac:dyDescent="0.2">
      <c r="B231" s="314"/>
      <c r="C231" s="322"/>
      <c r="D231" s="322"/>
      <c r="E231" s="322"/>
      <c r="F231" s="322"/>
      <c r="G231" s="322"/>
      <c r="H231" s="322"/>
      <c r="I231" s="322"/>
      <c r="J231" s="322"/>
      <c r="K231" s="322"/>
      <c r="L231" s="322"/>
      <c r="M231" s="319"/>
    </row>
    <row r="232" spans="2:14" x14ac:dyDescent="0.2">
      <c r="B232" s="159" t="s">
        <v>1410</v>
      </c>
      <c r="C232" s="160">
        <v>5.125</v>
      </c>
      <c r="D232" s="133">
        <v>0.25</v>
      </c>
      <c r="E232" s="134">
        <v>4</v>
      </c>
      <c r="F232" s="133">
        <v>0.375</v>
      </c>
      <c r="G232" s="134">
        <v>0.8125</v>
      </c>
      <c r="H232" s="134">
        <v>0.5</v>
      </c>
      <c r="I232" s="134">
        <v>2.25</v>
      </c>
      <c r="J232" s="133">
        <v>2.25</v>
      </c>
      <c r="K232" s="123">
        <f>((C232-(F232*1))*2+(E232*2)+(F232*2))*12/144</f>
        <v>1.5208333333333333</v>
      </c>
      <c r="L232" s="281">
        <f>K232*3.2808399*0.09290304</f>
        <v>0.46355000070459607</v>
      </c>
      <c r="M232" s="281">
        <f t="shared" si="21"/>
        <v>14.13755842043922</v>
      </c>
      <c r="N232">
        <v>9.5</v>
      </c>
    </row>
    <row r="233" spans="2:14" x14ac:dyDescent="0.2">
      <c r="B233" s="18" t="s">
        <v>1411</v>
      </c>
      <c r="C233" s="20">
        <v>5</v>
      </c>
      <c r="D233" s="19">
        <v>0.25</v>
      </c>
      <c r="E233" s="20">
        <v>4</v>
      </c>
      <c r="F233" s="19">
        <v>0.3125</v>
      </c>
      <c r="G233" s="20">
        <v>0.75</v>
      </c>
      <c r="H233" s="20">
        <v>0.5</v>
      </c>
      <c r="I233" s="20">
        <v>2.25</v>
      </c>
      <c r="J233" s="19">
        <v>2.25</v>
      </c>
      <c r="K233" s="123">
        <f>((C233-(F233*1))*2+(E233*2)+(F233*2))*12/144</f>
        <v>1.5</v>
      </c>
      <c r="L233" s="281">
        <f>K233*3.2808399*0.09290304</f>
        <v>0.45720000069494404</v>
      </c>
      <c r="M233" s="281">
        <f t="shared" si="21"/>
        <v>12.649394376182462</v>
      </c>
      <c r="N233">
        <v>8.5</v>
      </c>
    </row>
    <row r="234" spans="2:14" x14ac:dyDescent="0.2">
      <c r="B234" s="18" t="s">
        <v>1412</v>
      </c>
      <c r="C234" s="20">
        <v>5</v>
      </c>
      <c r="D234" s="133">
        <v>0.25</v>
      </c>
      <c r="E234" s="134">
        <v>4</v>
      </c>
      <c r="F234" s="133">
        <v>0.25</v>
      </c>
      <c r="G234" s="134">
        <v>0.6875</v>
      </c>
      <c r="H234" s="134">
        <v>0.4375</v>
      </c>
      <c r="I234" s="134">
        <v>2.25</v>
      </c>
      <c r="J234" s="133">
        <v>2.25</v>
      </c>
      <c r="K234" s="123">
        <f>((C234-(F234*1))*2+(E234*2)+(F234*2))*12/144</f>
        <v>1.5</v>
      </c>
      <c r="L234" s="281">
        <f>K234*3.2808399*0.09290304</f>
        <v>0.45720000069494404</v>
      </c>
      <c r="M234" s="281">
        <f t="shared" si="21"/>
        <v>11.161230331925699</v>
      </c>
      <c r="N234">
        <v>7.5</v>
      </c>
    </row>
    <row r="235" spans="2:14" x14ac:dyDescent="0.2">
      <c r="B235" s="191" t="s">
        <v>1413</v>
      </c>
      <c r="C235" s="22">
        <v>4.875</v>
      </c>
      <c r="D235" s="21">
        <v>0.1875</v>
      </c>
      <c r="E235" s="22">
        <v>4</v>
      </c>
      <c r="F235" s="21">
        <v>0.1875</v>
      </c>
      <c r="G235" s="22">
        <v>0.625</v>
      </c>
      <c r="H235" s="22">
        <v>0.4375</v>
      </c>
      <c r="I235" s="22">
        <v>2.25</v>
      </c>
      <c r="J235" s="21">
        <v>2</v>
      </c>
      <c r="K235" s="320">
        <f>((C235-(F235*1))*2+(E235*2)+(F235*2))*12/144</f>
        <v>1.4791666666666667</v>
      </c>
      <c r="L235" s="340">
        <f>K235*3.2808399*0.09290304</f>
        <v>0.45085000068529202</v>
      </c>
      <c r="M235" s="340">
        <f t="shared" si="21"/>
        <v>8.92898426554056</v>
      </c>
      <c r="N235">
        <v>6</v>
      </c>
    </row>
    <row r="236" spans="2:14" x14ac:dyDescent="0.2">
      <c r="B236" s="314"/>
      <c r="C236" s="322"/>
      <c r="D236" s="322"/>
      <c r="E236" s="322"/>
      <c r="F236" s="322"/>
      <c r="G236" s="322"/>
      <c r="H236" s="322"/>
      <c r="I236" s="322"/>
      <c r="J236" s="322"/>
      <c r="K236" s="322"/>
      <c r="L236" s="322"/>
      <c r="M236" s="319"/>
    </row>
    <row r="237" spans="2:14" x14ac:dyDescent="0.2">
      <c r="B237" s="159" t="s">
        <v>1414</v>
      </c>
      <c r="C237" s="160">
        <v>4.5</v>
      </c>
      <c r="D237" s="135">
        <v>0.5625</v>
      </c>
      <c r="E237" s="160">
        <v>8.25</v>
      </c>
      <c r="F237" s="135">
        <v>0.9375</v>
      </c>
      <c r="G237" s="160">
        <v>1.4375</v>
      </c>
      <c r="H237" s="160">
        <v>0.6875</v>
      </c>
      <c r="I237" s="160" t="s">
        <v>1008</v>
      </c>
      <c r="J237" s="135" t="s">
        <v>1008</v>
      </c>
      <c r="K237" s="123">
        <f t="shared" ref="K237:K242" si="24">((C237-(F237*1))*2+(E237*2)+(F237*2))*12/144</f>
        <v>2.125</v>
      </c>
      <c r="L237" s="281">
        <f t="shared" ref="L237:L242" si="25">K237*3.2808399*0.09290304</f>
        <v>0.64770000098450409</v>
      </c>
      <c r="M237" s="281">
        <f t="shared" si="21"/>
        <v>49.85349548260146</v>
      </c>
      <c r="N237">
        <v>33.5</v>
      </c>
    </row>
    <row r="238" spans="2:14" x14ac:dyDescent="0.2">
      <c r="B238" s="18" t="s">
        <v>1415</v>
      </c>
      <c r="C238" s="20">
        <v>4.375</v>
      </c>
      <c r="D238" s="133">
        <v>0.5</v>
      </c>
      <c r="E238" s="134">
        <v>8.25</v>
      </c>
      <c r="F238" s="133">
        <v>0.8125</v>
      </c>
      <c r="G238" s="134">
        <v>1.3125</v>
      </c>
      <c r="H238" s="134">
        <v>0.6875</v>
      </c>
      <c r="I238" s="134">
        <v>5.5</v>
      </c>
      <c r="J238" s="133">
        <v>2.75</v>
      </c>
      <c r="K238" s="123">
        <f t="shared" si="24"/>
        <v>2.1041666666666665</v>
      </c>
      <c r="L238" s="281">
        <f t="shared" si="25"/>
        <v>0.64135000097485206</v>
      </c>
      <c r="M238" s="281">
        <f t="shared" si="21"/>
        <v>43.156757283446041</v>
      </c>
      <c r="N238">
        <v>29</v>
      </c>
    </row>
    <row r="239" spans="2:14" x14ac:dyDescent="0.2">
      <c r="B239" s="18" t="s">
        <v>1416</v>
      </c>
      <c r="C239" s="20">
        <v>4.25</v>
      </c>
      <c r="D239" s="19">
        <v>0.375</v>
      </c>
      <c r="E239" s="20">
        <v>8.125</v>
      </c>
      <c r="F239" s="19">
        <v>0.6875</v>
      </c>
      <c r="G239" s="20">
        <v>1.1875</v>
      </c>
      <c r="H239" s="20">
        <v>0.625</v>
      </c>
      <c r="I239" s="20">
        <v>5.5</v>
      </c>
      <c r="J239" s="19">
        <v>2.5</v>
      </c>
      <c r="K239" s="123">
        <f t="shared" si="24"/>
        <v>2.0625</v>
      </c>
      <c r="L239" s="281">
        <f t="shared" si="25"/>
        <v>0.62865000095554813</v>
      </c>
      <c r="M239" s="281">
        <f t="shared" si="21"/>
        <v>35.71593706216224</v>
      </c>
      <c r="N239">
        <v>24</v>
      </c>
    </row>
    <row r="240" spans="2:14" x14ac:dyDescent="0.2">
      <c r="B240" s="18" t="s">
        <v>1417</v>
      </c>
      <c r="C240" s="20">
        <v>4.125</v>
      </c>
      <c r="D240" s="133">
        <v>0.375</v>
      </c>
      <c r="E240" s="134">
        <v>8.125</v>
      </c>
      <c r="F240" s="133">
        <v>0.5625</v>
      </c>
      <c r="G240" s="134">
        <v>1.0625</v>
      </c>
      <c r="H240" s="134">
        <v>0.625</v>
      </c>
      <c r="I240" s="134">
        <v>5.5</v>
      </c>
      <c r="J240" s="133">
        <v>2.5</v>
      </c>
      <c r="K240" s="123">
        <f t="shared" si="24"/>
        <v>2.0416666666666665</v>
      </c>
      <c r="L240" s="281">
        <f t="shared" si="25"/>
        <v>0.62230000094589599</v>
      </c>
      <c r="M240" s="281">
        <f t="shared" si="21"/>
        <v>29.763280885135202</v>
      </c>
      <c r="N240">
        <v>20</v>
      </c>
    </row>
    <row r="241" spans="2:14" x14ac:dyDescent="0.2">
      <c r="B241" s="18" t="s">
        <v>1418</v>
      </c>
      <c r="C241" s="20">
        <v>4</v>
      </c>
      <c r="D241" s="19">
        <v>0.3125</v>
      </c>
      <c r="E241" s="20">
        <v>8</v>
      </c>
      <c r="F241" s="19">
        <v>0.5</v>
      </c>
      <c r="G241" s="20">
        <v>1</v>
      </c>
      <c r="H241" s="20">
        <v>0.5625</v>
      </c>
      <c r="I241" s="20">
        <v>5.5</v>
      </c>
      <c r="J241" s="19">
        <v>2.25</v>
      </c>
      <c r="K241" s="123">
        <f t="shared" si="24"/>
        <v>2</v>
      </c>
      <c r="L241" s="281">
        <f t="shared" si="25"/>
        <v>0.60960000092659206</v>
      </c>
      <c r="M241" s="281">
        <f t="shared" si="21"/>
        <v>26.042870774493302</v>
      </c>
      <c r="N241">
        <v>17.5</v>
      </c>
    </row>
    <row r="242" spans="2:14" x14ac:dyDescent="0.2">
      <c r="B242" s="191" t="s">
        <v>1419</v>
      </c>
      <c r="C242" s="22">
        <v>4</v>
      </c>
      <c r="D242" s="21">
        <v>0.3125</v>
      </c>
      <c r="E242" s="22">
        <v>8</v>
      </c>
      <c r="F242" s="21">
        <v>0.4375</v>
      </c>
      <c r="G242" s="22">
        <v>0.9375</v>
      </c>
      <c r="H242" s="22">
        <v>0.5625</v>
      </c>
      <c r="I242" s="22">
        <v>5.5</v>
      </c>
      <c r="J242" s="21">
        <v>2.25</v>
      </c>
      <c r="K242" s="320">
        <f t="shared" si="24"/>
        <v>2</v>
      </c>
      <c r="L242" s="340">
        <f t="shared" si="25"/>
        <v>0.60960000092659206</v>
      </c>
      <c r="M242" s="340">
        <f t="shared" si="21"/>
        <v>23.06654268597978</v>
      </c>
      <c r="N242">
        <v>15.5</v>
      </c>
    </row>
    <row r="243" spans="2:14" x14ac:dyDescent="0.2">
      <c r="B243" s="314"/>
      <c r="C243" s="322"/>
      <c r="D243" s="322"/>
      <c r="E243" s="322"/>
      <c r="F243" s="322"/>
      <c r="G243" s="322"/>
      <c r="H243" s="322"/>
      <c r="I243" s="322"/>
      <c r="J243" s="322"/>
      <c r="K243" s="322"/>
      <c r="L243" s="322"/>
      <c r="M243" s="319"/>
    </row>
    <row r="244" spans="2:14" x14ac:dyDescent="0.2">
      <c r="B244" s="159" t="s">
        <v>1420</v>
      </c>
      <c r="C244" s="160">
        <v>4</v>
      </c>
      <c r="D244" s="135">
        <v>0.3125</v>
      </c>
      <c r="E244" s="160">
        <v>6.5</v>
      </c>
      <c r="F244" s="135">
        <v>0.4375</v>
      </c>
      <c r="G244" s="160">
        <v>0.9375</v>
      </c>
      <c r="H244" s="160">
        <v>0.5625</v>
      </c>
      <c r="I244" s="160">
        <v>3.5</v>
      </c>
      <c r="J244" s="135">
        <v>2.25</v>
      </c>
      <c r="K244" s="123">
        <f>((C244-(F244*1))*2+(E244*2)+(F244*2))*12/144</f>
        <v>1.75</v>
      </c>
      <c r="L244" s="281">
        <f>K244*3.2808399*0.09290304</f>
        <v>0.5334000008107681</v>
      </c>
      <c r="M244" s="281">
        <f t="shared" si="21"/>
        <v>20.834296619594642</v>
      </c>
      <c r="N244">
        <v>14</v>
      </c>
    </row>
    <row r="245" spans="2:14" x14ac:dyDescent="0.2">
      <c r="B245" s="191" t="s">
        <v>1421</v>
      </c>
      <c r="C245" s="22">
        <v>4</v>
      </c>
      <c r="D245" s="21">
        <v>0.25</v>
      </c>
      <c r="E245" s="22">
        <v>6.5</v>
      </c>
      <c r="F245" s="21">
        <v>0.375</v>
      </c>
      <c r="G245" s="22">
        <v>0.875</v>
      </c>
      <c r="H245" s="22">
        <v>0.5625</v>
      </c>
      <c r="I245" s="22">
        <v>3.5</v>
      </c>
      <c r="J245" s="21">
        <v>2.25</v>
      </c>
      <c r="K245" s="320">
        <f>((C245-(F245*1))*2+(E245*2)+(F245*2))*12/144</f>
        <v>1.75</v>
      </c>
      <c r="L245" s="340">
        <f>K245*3.2808399*0.09290304</f>
        <v>0.5334000008107681</v>
      </c>
      <c r="M245" s="340">
        <f t="shared" si="21"/>
        <v>17.85796853108112</v>
      </c>
      <c r="N245">
        <v>12</v>
      </c>
    </row>
    <row r="246" spans="2:14" x14ac:dyDescent="0.2">
      <c r="B246" s="314"/>
      <c r="C246" s="322"/>
      <c r="D246" s="322"/>
      <c r="E246" s="322"/>
      <c r="F246" s="322"/>
      <c r="G246" s="322"/>
      <c r="H246" s="322"/>
      <c r="I246" s="322"/>
      <c r="J246" s="322"/>
      <c r="K246" s="322"/>
      <c r="L246" s="322"/>
      <c r="M246" s="319"/>
    </row>
    <row r="247" spans="2:14" x14ac:dyDescent="0.2">
      <c r="B247" s="159" t="s">
        <v>1422</v>
      </c>
      <c r="C247" s="160">
        <v>4.125</v>
      </c>
      <c r="D247" s="135">
        <v>0.25</v>
      </c>
      <c r="E247" s="160">
        <v>5.25</v>
      </c>
      <c r="F247" s="135">
        <v>0.375</v>
      </c>
      <c r="G247" s="160">
        <v>0.8125</v>
      </c>
      <c r="H247" s="160">
        <v>0.5</v>
      </c>
      <c r="I247" s="160">
        <v>2.75</v>
      </c>
      <c r="J247" s="135">
        <v>2.25</v>
      </c>
      <c r="K247" s="123">
        <f>((C247-(F247*1))*2+(E247*2)+(F247*2))*12/144</f>
        <v>1.5625</v>
      </c>
      <c r="L247" s="281">
        <f>K247*3.2808399*0.09290304</f>
        <v>0.47625000072390006</v>
      </c>
      <c r="M247" s="281">
        <f t="shared" si="21"/>
        <v>15.625722464695981</v>
      </c>
      <c r="N247">
        <v>10.5</v>
      </c>
    </row>
    <row r="248" spans="2:14" x14ac:dyDescent="0.2">
      <c r="B248" s="191" t="s">
        <v>1423</v>
      </c>
      <c r="C248" s="22">
        <v>4.125</v>
      </c>
      <c r="D248" s="21">
        <v>0.25</v>
      </c>
      <c r="E248" s="22">
        <v>5.25</v>
      </c>
      <c r="F248" s="21">
        <v>0.3125</v>
      </c>
      <c r="G248" s="22">
        <v>0.75</v>
      </c>
      <c r="H248" s="22">
        <v>0.4375</v>
      </c>
      <c r="I248" s="22">
        <v>2.75</v>
      </c>
      <c r="J248" s="21">
        <v>2.25</v>
      </c>
      <c r="K248" s="320">
        <f>((C248-(F248*1))*2+(E248*2)+(F248*2))*12/144</f>
        <v>1.5625</v>
      </c>
      <c r="L248" s="340">
        <f>K248*3.2808399*0.09290304</f>
        <v>0.47625000072390006</v>
      </c>
      <c r="M248" s="340">
        <f t="shared" si="21"/>
        <v>13.39347639831084</v>
      </c>
      <c r="N248">
        <v>9</v>
      </c>
    </row>
    <row r="249" spans="2:14" x14ac:dyDescent="0.2">
      <c r="B249" s="314"/>
      <c r="C249" s="322"/>
      <c r="D249" s="322"/>
      <c r="E249" s="322"/>
      <c r="F249" s="322"/>
      <c r="G249" s="322"/>
      <c r="H249" s="322"/>
      <c r="I249" s="322"/>
      <c r="J249" s="322"/>
      <c r="K249" s="322"/>
      <c r="L249" s="322"/>
      <c r="M249" s="319"/>
    </row>
    <row r="250" spans="2:14" x14ac:dyDescent="0.2">
      <c r="B250" s="159" t="s">
        <v>1424</v>
      </c>
      <c r="C250" s="160">
        <v>4</v>
      </c>
      <c r="D250" s="135">
        <v>0.25</v>
      </c>
      <c r="E250" s="160">
        <v>4</v>
      </c>
      <c r="F250" s="135">
        <v>0.3125</v>
      </c>
      <c r="G250" s="160">
        <v>0.75</v>
      </c>
      <c r="H250" s="160">
        <v>0.5</v>
      </c>
      <c r="I250" s="160">
        <v>2.25</v>
      </c>
      <c r="J250" s="135">
        <v>2.25</v>
      </c>
      <c r="K250" s="123">
        <f>((C250-(F250*1))*2+(E250*2)+(F250*2))*12/144</f>
        <v>1.3333333333333333</v>
      </c>
      <c r="L250" s="281">
        <f>K250*3.2808399*0.09290304</f>
        <v>0.40640000061772796</v>
      </c>
      <c r="M250" s="281">
        <f t="shared" si="21"/>
        <v>11.161230331925699</v>
      </c>
      <c r="N250">
        <v>7.5</v>
      </c>
    </row>
    <row r="251" spans="2:14" x14ac:dyDescent="0.2">
      <c r="B251" s="159" t="s">
        <v>1425</v>
      </c>
      <c r="C251" s="160">
        <v>4</v>
      </c>
      <c r="D251" s="133">
        <v>0.25</v>
      </c>
      <c r="E251" s="134">
        <v>4</v>
      </c>
      <c r="F251" s="133">
        <v>0.25</v>
      </c>
      <c r="G251" s="134">
        <v>0.6875</v>
      </c>
      <c r="H251" s="134">
        <v>0.4375</v>
      </c>
      <c r="I251" s="134">
        <v>2.25</v>
      </c>
      <c r="J251" s="133">
        <v>2.25</v>
      </c>
      <c r="K251" s="123">
        <f>((C251-(F251*1))*2+(E251*2)+(F251*2))*12/144</f>
        <v>1.3333333333333333</v>
      </c>
      <c r="L251" s="281">
        <f>K251*3.2808399*0.09290304</f>
        <v>0.40640000061772796</v>
      </c>
      <c r="M251" s="281">
        <f t="shared" si="21"/>
        <v>9.6730662876689415</v>
      </c>
      <c r="N251">
        <v>6.5</v>
      </c>
    </row>
    <row r="252" spans="2:14" x14ac:dyDescent="0.2">
      <c r="B252" s="18" t="s">
        <v>1426</v>
      </c>
      <c r="C252" s="20">
        <v>4</v>
      </c>
      <c r="D252" s="19">
        <v>0.1875</v>
      </c>
      <c r="E252" s="20">
        <v>4</v>
      </c>
      <c r="F252" s="19">
        <v>0.1875</v>
      </c>
      <c r="G252" s="20">
        <v>0.625</v>
      </c>
      <c r="H252" s="20">
        <v>0.4375</v>
      </c>
      <c r="I252" s="20">
        <v>2.25</v>
      </c>
      <c r="J252" s="19">
        <v>2</v>
      </c>
      <c r="K252" s="123">
        <f>((C252-(F252*1))*2+(E252*2)+(F252*2))*12/144</f>
        <v>1.3333333333333333</v>
      </c>
      <c r="L252" s="281">
        <f>K252*3.2808399*0.09290304</f>
        <v>0.40640000061772796</v>
      </c>
      <c r="M252" s="281">
        <f t="shared" si="21"/>
        <v>7.4408202212838006</v>
      </c>
      <c r="N252">
        <v>5</v>
      </c>
    </row>
    <row r="253" spans="2:14" x14ac:dyDescent="0.2">
      <c r="B253" s="314"/>
      <c r="C253" s="315"/>
      <c r="D253" s="316"/>
      <c r="E253" s="315"/>
      <c r="F253" s="316"/>
      <c r="G253" s="315"/>
      <c r="H253" s="315"/>
      <c r="I253" s="315"/>
      <c r="J253" s="316"/>
      <c r="K253" s="315"/>
      <c r="L253" s="315"/>
      <c r="M253" s="313"/>
    </row>
    <row r="254" spans="2:14" x14ac:dyDescent="0.2">
      <c r="B254" s="18" t="s">
        <v>1427</v>
      </c>
      <c r="C254" s="20">
        <v>3.25</v>
      </c>
      <c r="D254" s="19">
        <v>0.3125</v>
      </c>
      <c r="E254" s="20">
        <v>6.125</v>
      </c>
      <c r="F254" s="19">
        <v>0.4375</v>
      </c>
      <c r="G254" s="20">
        <v>0.8125</v>
      </c>
      <c r="H254" s="20">
        <v>0.4375</v>
      </c>
      <c r="I254" s="20">
        <v>3.5</v>
      </c>
      <c r="J254" s="19">
        <v>2.25</v>
      </c>
      <c r="K254" s="123">
        <f>((C254-(F254*1))*2+(E254*2)+(F254*2))*12/144</f>
        <v>1.5625</v>
      </c>
      <c r="L254" s="281">
        <f>K254*3.2808399*0.09290304</f>
        <v>0.47625000072390006</v>
      </c>
      <c r="M254" s="281">
        <f t="shared" si="21"/>
        <v>18.602050553209502</v>
      </c>
      <c r="N254">
        <v>12.5</v>
      </c>
    </row>
    <row r="255" spans="2:14" x14ac:dyDescent="0.2">
      <c r="B255" s="18" t="s">
        <v>1428</v>
      </c>
      <c r="C255" s="20">
        <v>3.125</v>
      </c>
      <c r="D255" s="133">
        <v>0.25</v>
      </c>
      <c r="E255" s="134">
        <v>6</v>
      </c>
      <c r="F255" s="133">
        <v>0.375</v>
      </c>
      <c r="G255" s="134">
        <v>0.75</v>
      </c>
      <c r="H255" s="134">
        <v>0.4375</v>
      </c>
      <c r="I255" s="134">
        <v>3.5</v>
      </c>
      <c r="J255" s="133">
        <v>2.25</v>
      </c>
      <c r="K255" s="123">
        <f>((C255-(F255*1))*2+(E255*2)+(F255*2))*12/144</f>
        <v>1.5208333333333333</v>
      </c>
      <c r="L255" s="281">
        <f>K255*3.2808399*0.09290304</f>
        <v>0.46355000070459607</v>
      </c>
      <c r="M255" s="281">
        <f t="shared" si="21"/>
        <v>14.881640442567601</v>
      </c>
      <c r="N255">
        <v>10</v>
      </c>
    </row>
    <row r="256" spans="2:14" x14ac:dyDescent="0.2">
      <c r="B256" s="191" t="s">
        <v>1429</v>
      </c>
      <c r="C256" s="22">
        <v>3</v>
      </c>
      <c r="D256" s="21">
        <v>0.25</v>
      </c>
      <c r="E256" s="22">
        <v>6</v>
      </c>
      <c r="F256" s="21">
        <v>0.25</v>
      </c>
      <c r="G256" s="22">
        <v>0.625</v>
      </c>
      <c r="H256" s="22">
        <v>0.375</v>
      </c>
      <c r="I256" s="22">
        <v>3.5</v>
      </c>
      <c r="J256" s="21">
        <v>2.25</v>
      </c>
      <c r="K256" s="320">
        <f>((C256-(F256*1))*2+(E256*2)+(F256*2))*12/144</f>
        <v>1.5</v>
      </c>
      <c r="L256" s="340">
        <f>K256*3.2808399*0.09290304</f>
        <v>0.45720000069494404</v>
      </c>
      <c r="M256" s="340">
        <f t="shared" si="21"/>
        <v>11.161230331925699</v>
      </c>
      <c r="N256">
        <v>7.5</v>
      </c>
    </row>
    <row r="257" spans="1:14" x14ac:dyDescent="0.2">
      <c r="B257" s="314"/>
      <c r="C257" s="322"/>
      <c r="D257" s="322"/>
      <c r="E257" s="322"/>
      <c r="F257" s="322"/>
      <c r="G257" s="322"/>
      <c r="H257" s="322"/>
      <c r="I257" s="322"/>
      <c r="J257" s="322"/>
      <c r="K257" s="322"/>
      <c r="L257" s="322"/>
      <c r="M257" s="319"/>
    </row>
    <row r="258" spans="1:14" x14ac:dyDescent="0.2">
      <c r="B258" s="159" t="s">
        <v>1430</v>
      </c>
      <c r="C258" s="160">
        <v>3.125</v>
      </c>
      <c r="D258" s="133">
        <v>0.25</v>
      </c>
      <c r="E258" s="134">
        <v>4</v>
      </c>
      <c r="F258" s="133">
        <v>0.375</v>
      </c>
      <c r="G258" s="134">
        <v>0.75</v>
      </c>
      <c r="H258" s="134">
        <v>0.4375</v>
      </c>
      <c r="I258" s="134">
        <v>2.25</v>
      </c>
      <c r="J258" s="133">
        <v>2.25</v>
      </c>
      <c r="K258" s="123">
        <f>((C258-(F258*1))*2+(E258*2)+(F258*2))*12/144</f>
        <v>1.1875</v>
      </c>
      <c r="L258" s="281">
        <f>K258*3.2808399*0.09290304</f>
        <v>0.36195000055016402</v>
      </c>
      <c r="M258" s="281">
        <f t="shared" si="21"/>
        <v>11.905312354054081</v>
      </c>
      <c r="N258">
        <v>8</v>
      </c>
    </row>
    <row r="259" spans="1:14" x14ac:dyDescent="0.2">
      <c r="B259" s="18" t="s">
        <v>1431</v>
      </c>
      <c r="C259" s="20">
        <v>3</v>
      </c>
      <c r="D259" s="19">
        <v>0.25</v>
      </c>
      <c r="E259" s="20">
        <v>4</v>
      </c>
      <c r="F259" s="19">
        <v>0.25</v>
      </c>
      <c r="G259" s="20">
        <v>0.625</v>
      </c>
      <c r="H259" s="20">
        <v>0.375</v>
      </c>
      <c r="I259" s="20">
        <v>2.25</v>
      </c>
      <c r="J259" s="19">
        <v>2.25</v>
      </c>
      <c r="K259" s="123">
        <f>((C259-(F259*1))*2+(E259*2)+(F259*2))*12/144</f>
        <v>1.1666666666666667</v>
      </c>
      <c r="L259" s="281">
        <f>K259*3.2808399*0.09290304</f>
        <v>0.35560000054051205</v>
      </c>
      <c r="M259" s="281">
        <f t="shared" si="21"/>
        <v>8.92898426554056</v>
      </c>
      <c r="N259">
        <v>6</v>
      </c>
    </row>
    <row r="260" spans="1:14" x14ac:dyDescent="0.2">
      <c r="B260" s="191" t="s">
        <v>1432</v>
      </c>
      <c r="C260" s="22">
        <v>3</v>
      </c>
      <c r="D260" s="133">
        <v>0.1875</v>
      </c>
      <c r="E260" s="134">
        <v>4</v>
      </c>
      <c r="F260" s="133">
        <v>0.1875</v>
      </c>
      <c r="G260" s="134">
        <v>0.5625</v>
      </c>
      <c r="H260" s="134">
        <v>0.375</v>
      </c>
      <c r="I260" s="134">
        <v>2.25</v>
      </c>
      <c r="J260" s="133">
        <v>2</v>
      </c>
      <c r="K260" s="320">
        <f>((C260-(F260*1))*2+(E260*2)+(F260*2))*12/144</f>
        <v>1.1666666666666667</v>
      </c>
      <c r="L260" s="340">
        <f>K260*3.2808399*0.09290304</f>
        <v>0.35560000054051205</v>
      </c>
      <c r="M260" s="340">
        <f t="shared" si="21"/>
        <v>6.69673819915542</v>
      </c>
      <c r="N260">
        <v>4.5</v>
      </c>
    </row>
    <row r="261" spans="1:14" x14ac:dyDescent="0.2">
      <c r="B261" s="314"/>
      <c r="C261" s="322"/>
      <c r="D261" s="322"/>
      <c r="E261" s="322"/>
      <c r="F261" s="322"/>
      <c r="G261" s="322"/>
      <c r="H261" s="322"/>
      <c r="I261" s="322"/>
      <c r="J261" s="322"/>
      <c r="K261" s="322"/>
      <c r="L261" s="322"/>
      <c r="M261" s="319"/>
    </row>
    <row r="262" spans="1:14" x14ac:dyDescent="0.2">
      <c r="B262" s="159" t="s">
        <v>1433</v>
      </c>
      <c r="C262" s="160">
        <v>2.625</v>
      </c>
      <c r="D262" s="133">
        <v>0.25</v>
      </c>
      <c r="E262" s="134">
        <v>5</v>
      </c>
      <c r="F262" s="133">
        <v>0.4375</v>
      </c>
      <c r="G262" s="134">
        <v>0.8125</v>
      </c>
      <c r="H262" s="134">
        <v>0.4375</v>
      </c>
      <c r="I262" s="134">
        <v>2.75</v>
      </c>
      <c r="J262" s="133">
        <v>2.25</v>
      </c>
      <c r="K262" s="123">
        <f>((C262-(F262*1))*2+(E262*2)+(F262*2))*12/144</f>
        <v>1.2708333333333333</v>
      </c>
      <c r="L262" s="281">
        <f>K262*3.2808399*0.09290304</f>
        <v>0.38735000058877206</v>
      </c>
      <c r="M262" s="281">
        <f t="shared" si="21"/>
        <v>14.13755842043922</v>
      </c>
      <c r="N262">
        <v>9.5</v>
      </c>
    </row>
    <row r="263" spans="1:14" x14ac:dyDescent="0.2">
      <c r="B263" s="191" t="s">
        <v>1434</v>
      </c>
      <c r="C263" s="22">
        <v>2.5</v>
      </c>
      <c r="D263" s="21">
        <v>0.25</v>
      </c>
      <c r="E263" s="22">
        <v>5</v>
      </c>
      <c r="F263" s="21">
        <v>0.375</v>
      </c>
      <c r="G263" s="22">
        <v>0.75</v>
      </c>
      <c r="H263" s="22">
        <v>0.4375</v>
      </c>
      <c r="I263" s="22">
        <v>2.75</v>
      </c>
      <c r="J263" s="21">
        <v>2.25</v>
      </c>
      <c r="K263" s="320">
        <f>((C263-(F263*1))*2+(E263*2)+(F263*2))*12/144</f>
        <v>1.25</v>
      </c>
      <c r="L263" s="340">
        <f>K263*3.2808399*0.09290304</f>
        <v>0.38100000057912004</v>
      </c>
      <c r="M263" s="340">
        <f t="shared" si="21"/>
        <v>11.905312354054081</v>
      </c>
      <c r="N263">
        <v>8</v>
      </c>
    </row>
    <row r="264" spans="1:14" x14ac:dyDescent="0.2">
      <c r="B264" s="314"/>
      <c r="C264" s="322"/>
      <c r="D264" s="322"/>
      <c r="E264" s="322"/>
      <c r="F264" s="322"/>
      <c r="G264" s="322"/>
      <c r="H264" s="322"/>
      <c r="I264" s="322"/>
      <c r="J264" s="322"/>
      <c r="K264" s="322"/>
      <c r="L264" s="322"/>
      <c r="M264" s="319"/>
    </row>
    <row r="265" spans="1:14" x14ac:dyDescent="0.2">
      <c r="B265" s="18" t="s">
        <v>1435</v>
      </c>
      <c r="C265" s="20">
        <v>2.125</v>
      </c>
      <c r="D265" s="19">
        <v>0.25</v>
      </c>
      <c r="E265" s="20">
        <v>4</v>
      </c>
      <c r="F265" s="19">
        <v>0.375</v>
      </c>
      <c r="G265" s="20">
        <v>0.6875</v>
      </c>
      <c r="H265" s="20">
        <v>0.4375</v>
      </c>
      <c r="I265" s="20">
        <v>2.25</v>
      </c>
      <c r="J265" s="19">
        <v>2</v>
      </c>
      <c r="K265" s="136">
        <f>((C265-(F265*1))*2+(E265*2)+(F265*2))*12/144</f>
        <v>1.0208333333333333</v>
      </c>
      <c r="L265" s="279">
        <f>K265*3.2808399*0.09290304</f>
        <v>0.311150000472948</v>
      </c>
      <c r="M265" s="279">
        <f t="shared" si="21"/>
        <v>9.6730662876689415</v>
      </c>
      <c r="N265">
        <v>6.5</v>
      </c>
    </row>
    <row r="266" spans="1:14" x14ac:dyDescent="0.2">
      <c r="B266" s="167" t="s">
        <v>899</v>
      </c>
      <c r="C266" s="168" t="s">
        <v>899</v>
      </c>
      <c r="D266" s="168" t="s">
        <v>899</v>
      </c>
      <c r="E266" s="168" t="s">
        <v>899</v>
      </c>
      <c r="F266" s="168" t="s">
        <v>899</v>
      </c>
      <c r="G266" s="168"/>
      <c r="H266" s="168"/>
      <c r="I266" s="168" t="s">
        <v>899</v>
      </c>
      <c r="J266" s="168" t="s">
        <v>899</v>
      </c>
      <c r="K266" s="350"/>
      <c r="L266" s="350"/>
      <c r="M266" s="350"/>
    </row>
    <row r="267" spans="1:14" x14ac:dyDescent="0.2">
      <c r="A267" s="166"/>
      <c r="B267" s="167" t="s">
        <v>899</v>
      </c>
      <c r="C267" s="168" t="s">
        <v>899</v>
      </c>
      <c r="D267" s="167" t="s">
        <v>899</v>
      </c>
      <c r="E267" s="167" t="s">
        <v>899</v>
      </c>
      <c r="F267" s="167" t="s">
        <v>899</v>
      </c>
      <c r="G267" s="167" t="s">
        <v>899</v>
      </c>
      <c r="H267" s="167" t="s">
        <v>899</v>
      </c>
      <c r="I267" s="167" t="s">
        <v>899</v>
      </c>
      <c r="J267" s="167" t="s">
        <v>899</v>
      </c>
      <c r="K267" s="166"/>
    </row>
    <row r="268" spans="1:14" x14ac:dyDescent="0.2">
      <c r="A268" s="166"/>
      <c r="B268" s="167" t="s">
        <v>899</v>
      </c>
      <c r="C268" s="168" t="s">
        <v>899</v>
      </c>
      <c r="D268" s="168" t="s">
        <v>899</v>
      </c>
      <c r="E268" s="168" t="s">
        <v>899</v>
      </c>
      <c r="F268" s="168" t="s">
        <v>899</v>
      </c>
      <c r="G268" s="168"/>
      <c r="H268" s="168"/>
      <c r="I268" s="168" t="s">
        <v>899</v>
      </c>
      <c r="J268" s="168" t="s">
        <v>899</v>
      </c>
      <c r="K268" s="166"/>
    </row>
    <row r="269" spans="1:14" x14ac:dyDescent="0.2">
      <c r="A269" s="166"/>
      <c r="B269" s="167" t="s">
        <v>899</v>
      </c>
      <c r="C269" s="168" t="s">
        <v>899</v>
      </c>
      <c r="D269" s="167" t="s">
        <v>899</v>
      </c>
      <c r="E269" s="167" t="s">
        <v>899</v>
      </c>
      <c r="F269" s="167" t="s">
        <v>899</v>
      </c>
      <c r="G269" s="167" t="s">
        <v>899</v>
      </c>
      <c r="H269" s="167" t="s">
        <v>899</v>
      </c>
      <c r="I269" s="167" t="s">
        <v>899</v>
      </c>
      <c r="J269" s="167" t="s">
        <v>899</v>
      </c>
      <c r="K269" s="166"/>
    </row>
    <row r="270" spans="1:14" x14ac:dyDescent="0.2">
      <c r="A270" s="166"/>
      <c r="B270" s="167" t="s">
        <v>899</v>
      </c>
      <c r="C270" s="168" t="s">
        <v>899</v>
      </c>
      <c r="D270" s="168" t="s">
        <v>899</v>
      </c>
      <c r="E270" s="168" t="s">
        <v>899</v>
      </c>
      <c r="F270" s="168" t="s">
        <v>899</v>
      </c>
      <c r="G270" s="168"/>
      <c r="H270" s="168"/>
      <c r="I270" s="168" t="s">
        <v>899</v>
      </c>
      <c r="J270" s="168" t="s">
        <v>899</v>
      </c>
      <c r="K270" s="166"/>
    </row>
    <row r="271" spans="1:14" x14ac:dyDescent="0.2">
      <c r="A271" s="166"/>
      <c r="B271" s="167" t="s">
        <v>899</v>
      </c>
      <c r="C271" s="168" t="s">
        <v>899</v>
      </c>
      <c r="D271" s="167" t="s">
        <v>899</v>
      </c>
      <c r="E271" s="167" t="s">
        <v>899</v>
      </c>
      <c r="F271" s="167" t="s">
        <v>899</v>
      </c>
      <c r="G271" s="167" t="s">
        <v>899</v>
      </c>
      <c r="H271" s="167" t="s">
        <v>899</v>
      </c>
      <c r="I271" s="167" t="s">
        <v>899</v>
      </c>
      <c r="J271" s="167" t="s">
        <v>899</v>
      </c>
      <c r="K271" s="166"/>
    </row>
    <row r="272" spans="1:14" x14ac:dyDescent="0.2">
      <c r="A272" s="166"/>
      <c r="B272" s="167" t="s">
        <v>899</v>
      </c>
      <c r="C272" s="168" t="s">
        <v>899</v>
      </c>
      <c r="D272" s="168" t="s">
        <v>899</v>
      </c>
      <c r="E272" s="168" t="s">
        <v>899</v>
      </c>
      <c r="F272" s="168" t="s">
        <v>899</v>
      </c>
      <c r="G272" s="168"/>
      <c r="H272" s="168"/>
      <c r="I272" s="168" t="s">
        <v>899</v>
      </c>
      <c r="J272" s="168" t="s">
        <v>899</v>
      </c>
      <c r="K272" s="166"/>
    </row>
    <row r="273" spans="1:11" x14ac:dyDescent="0.2">
      <c r="A273" s="166"/>
      <c r="B273" s="167" t="s">
        <v>899</v>
      </c>
      <c r="C273" s="168" t="s">
        <v>899</v>
      </c>
      <c r="D273" s="167" t="s">
        <v>899</v>
      </c>
      <c r="E273" s="167" t="s">
        <v>899</v>
      </c>
      <c r="F273" s="167" t="s">
        <v>899</v>
      </c>
      <c r="G273" s="167" t="s">
        <v>899</v>
      </c>
      <c r="H273" s="167" t="s">
        <v>899</v>
      </c>
      <c r="I273" s="167" t="s">
        <v>899</v>
      </c>
      <c r="J273" s="167" t="s">
        <v>899</v>
      </c>
      <c r="K273" s="166"/>
    </row>
    <row r="274" spans="1:11" x14ac:dyDescent="0.2">
      <c r="A274" s="166"/>
      <c r="B274" s="167" t="s">
        <v>899</v>
      </c>
      <c r="C274" s="168" t="s">
        <v>899</v>
      </c>
      <c r="D274" s="168" t="s">
        <v>899</v>
      </c>
      <c r="E274" s="168" t="s">
        <v>899</v>
      </c>
      <c r="F274" s="168" t="s">
        <v>899</v>
      </c>
      <c r="G274" s="168"/>
      <c r="H274" s="168"/>
      <c r="I274" s="168" t="s">
        <v>899</v>
      </c>
      <c r="J274" s="168" t="s">
        <v>899</v>
      </c>
      <c r="K274" s="166"/>
    </row>
    <row r="275" spans="1:11" x14ac:dyDescent="0.2">
      <c r="A275" s="166"/>
      <c r="B275" s="167" t="s">
        <v>899</v>
      </c>
      <c r="C275" s="168" t="s">
        <v>899</v>
      </c>
      <c r="D275" s="167" t="s">
        <v>899</v>
      </c>
      <c r="E275" s="167" t="s">
        <v>899</v>
      </c>
      <c r="F275" s="167" t="s">
        <v>899</v>
      </c>
      <c r="G275" s="167" t="s">
        <v>899</v>
      </c>
      <c r="H275" s="167" t="s">
        <v>899</v>
      </c>
      <c r="I275" s="167" t="s">
        <v>899</v>
      </c>
      <c r="J275" s="167" t="s">
        <v>899</v>
      </c>
      <c r="K275" s="166"/>
    </row>
    <row r="276" spans="1:11" x14ac:dyDescent="0.2">
      <c r="A276" s="166"/>
      <c r="B276" s="167" t="s">
        <v>899</v>
      </c>
      <c r="C276" s="168" t="s">
        <v>899</v>
      </c>
      <c r="D276" s="168" t="s">
        <v>899</v>
      </c>
      <c r="E276" s="168" t="s">
        <v>899</v>
      </c>
      <c r="F276" s="168" t="s">
        <v>899</v>
      </c>
      <c r="G276" s="168"/>
      <c r="H276" s="168"/>
      <c r="I276" s="168" t="s">
        <v>899</v>
      </c>
      <c r="J276" s="168" t="s">
        <v>899</v>
      </c>
      <c r="K276" s="166"/>
    </row>
    <row r="277" spans="1:11" x14ac:dyDescent="0.2">
      <c r="A277" s="166"/>
      <c r="B277" s="167" t="s">
        <v>899</v>
      </c>
      <c r="C277" s="168" t="s">
        <v>899</v>
      </c>
      <c r="D277" s="167" t="s">
        <v>899</v>
      </c>
      <c r="E277" s="167" t="s">
        <v>899</v>
      </c>
      <c r="F277" s="167" t="s">
        <v>899</v>
      </c>
      <c r="G277" s="167" t="s">
        <v>899</v>
      </c>
      <c r="H277" s="167" t="s">
        <v>899</v>
      </c>
      <c r="I277" s="167" t="s">
        <v>899</v>
      </c>
      <c r="J277" s="167" t="s">
        <v>899</v>
      </c>
      <c r="K277" s="166"/>
    </row>
    <row r="278" spans="1:11" x14ac:dyDescent="0.2">
      <c r="A278" s="166"/>
      <c r="B278" s="167" t="s">
        <v>899</v>
      </c>
      <c r="C278" s="168" t="s">
        <v>899</v>
      </c>
      <c r="D278" s="168" t="s">
        <v>899</v>
      </c>
      <c r="E278" s="168" t="s">
        <v>899</v>
      </c>
      <c r="F278" s="168" t="s">
        <v>899</v>
      </c>
      <c r="G278" s="168"/>
      <c r="H278" s="168"/>
      <c r="I278" s="168" t="s">
        <v>899</v>
      </c>
      <c r="J278" s="168" t="s">
        <v>899</v>
      </c>
      <c r="K278" s="166"/>
    </row>
    <row r="279" spans="1:11" x14ac:dyDescent="0.2">
      <c r="A279" s="166"/>
      <c r="B279" s="167" t="s">
        <v>899</v>
      </c>
      <c r="C279" s="168" t="s">
        <v>899</v>
      </c>
      <c r="D279" s="167" t="s">
        <v>899</v>
      </c>
      <c r="E279" s="167" t="s">
        <v>899</v>
      </c>
      <c r="F279" s="167" t="s">
        <v>899</v>
      </c>
      <c r="G279" s="167" t="s">
        <v>899</v>
      </c>
      <c r="H279" s="167" t="s">
        <v>899</v>
      </c>
      <c r="I279" s="167" t="s">
        <v>899</v>
      </c>
      <c r="J279" s="167" t="s">
        <v>899</v>
      </c>
      <c r="K279" s="166"/>
    </row>
    <row r="280" spans="1:11" x14ac:dyDescent="0.2">
      <c r="A280" s="166"/>
      <c r="B280" s="167" t="s">
        <v>899</v>
      </c>
      <c r="C280" s="168" t="s">
        <v>899</v>
      </c>
      <c r="D280" s="168" t="s">
        <v>899</v>
      </c>
      <c r="E280" s="168" t="s">
        <v>899</v>
      </c>
      <c r="F280" s="168" t="s">
        <v>899</v>
      </c>
      <c r="G280" s="168"/>
      <c r="H280" s="168"/>
      <c r="I280" s="168" t="s">
        <v>899</v>
      </c>
      <c r="J280" s="168" t="s">
        <v>899</v>
      </c>
      <c r="K280" s="166"/>
    </row>
    <row r="281" spans="1:11" x14ac:dyDescent="0.2">
      <c r="A281" s="166"/>
      <c r="B281" s="167" t="s">
        <v>899</v>
      </c>
      <c r="C281" s="168" t="s">
        <v>899</v>
      </c>
      <c r="D281" s="167" t="s">
        <v>899</v>
      </c>
      <c r="E281" s="167" t="s">
        <v>899</v>
      </c>
      <c r="F281" s="167" t="s">
        <v>899</v>
      </c>
      <c r="G281" s="167" t="s">
        <v>899</v>
      </c>
      <c r="H281" s="167" t="s">
        <v>899</v>
      </c>
      <c r="I281" s="167" t="s">
        <v>899</v>
      </c>
      <c r="J281" s="167" t="s">
        <v>899</v>
      </c>
      <c r="K281" s="166"/>
    </row>
    <row r="282" spans="1:11" x14ac:dyDescent="0.2">
      <c r="A282" s="166"/>
      <c r="B282" s="167" t="s">
        <v>899</v>
      </c>
      <c r="C282" s="168" t="s">
        <v>899</v>
      </c>
      <c r="D282" s="168" t="s">
        <v>899</v>
      </c>
      <c r="E282" s="168" t="s">
        <v>899</v>
      </c>
      <c r="F282" s="168" t="s">
        <v>899</v>
      </c>
      <c r="G282" s="168"/>
      <c r="H282" s="168"/>
      <c r="I282" s="168" t="s">
        <v>899</v>
      </c>
      <c r="J282" s="168" t="s">
        <v>899</v>
      </c>
      <c r="K282" s="166"/>
    </row>
    <row r="283" spans="1:11" x14ac:dyDescent="0.2">
      <c r="A283" s="166"/>
      <c r="B283" s="167" t="s">
        <v>899</v>
      </c>
      <c r="C283" s="168" t="s">
        <v>899</v>
      </c>
      <c r="D283" s="167" t="s">
        <v>899</v>
      </c>
      <c r="E283" s="167" t="s">
        <v>899</v>
      </c>
      <c r="F283" s="167" t="s">
        <v>899</v>
      </c>
      <c r="G283" s="167" t="s">
        <v>899</v>
      </c>
      <c r="H283" s="167" t="s">
        <v>899</v>
      </c>
      <c r="I283" s="167" t="s">
        <v>899</v>
      </c>
      <c r="J283" s="167" t="s">
        <v>899</v>
      </c>
      <c r="K283" s="166"/>
    </row>
    <row r="284" spans="1:11" x14ac:dyDescent="0.2">
      <c r="A284" s="166"/>
      <c r="B284" s="167" t="s">
        <v>899</v>
      </c>
      <c r="C284" s="168" t="s">
        <v>899</v>
      </c>
      <c r="D284" s="168" t="s">
        <v>899</v>
      </c>
      <c r="E284" s="168" t="s">
        <v>899</v>
      </c>
      <c r="F284" s="168" t="s">
        <v>899</v>
      </c>
      <c r="G284" s="168"/>
      <c r="H284" s="168"/>
      <c r="I284" s="168" t="s">
        <v>899</v>
      </c>
      <c r="J284" s="168" t="s">
        <v>899</v>
      </c>
      <c r="K284" s="166"/>
    </row>
    <row r="285" spans="1:11" x14ac:dyDescent="0.2">
      <c r="A285" s="166"/>
      <c r="B285" s="167" t="s">
        <v>899</v>
      </c>
      <c r="C285" s="168" t="s">
        <v>899</v>
      </c>
      <c r="D285" s="167" t="s">
        <v>899</v>
      </c>
      <c r="E285" s="167" t="s">
        <v>899</v>
      </c>
      <c r="F285" s="167" t="s">
        <v>899</v>
      </c>
      <c r="G285" s="167" t="s">
        <v>899</v>
      </c>
      <c r="H285" s="167" t="s">
        <v>899</v>
      </c>
      <c r="I285" s="167" t="s">
        <v>899</v>
      </c>
      <c r="J285" s="167" t="s">
        <v>899</v>
      </c>
      <c r="K285" s="166"/>
    </row>
    <row r="286" spans="1:11" x14ac:dyDescent="0.2">
      <c r="A286" s="166"/>
      <c r="B286" s="167" t="s">
        <v>899</v>
      </c>
      <c r="C286" s="168" t="s">
        <v>899</v>
      </c>
      <c r="D286" s="168" t="s">
        <v>899</v>
      </c>
      <c r="E286" s="168" t="s">
        <v>899</v>
      </c>
      <c r="F286" s="168" t="s">
        <v>899</v>
      </c>
      <c r="G286" s="168"/>
      <c r="H286" s="168"/>
      <c r="I286" s="168" t="s">
        <v>899</v>
      </c>
      <c r="J286" s="168" t="s">
        <v>899</v>
      </c>
      <c r="K286" s="166"/>
    </row>
    <row r="287" spans="1:11" x14ac:dyDescent="0.2">
      <c r="A287" s="166"/>
      <c r="B287" s="167" t="s">
        <v>899</v>
      </c>
      <c r="C287" s="168" t="s">
        <v>899</v>
      </c>
      <c r="D287" s="167" t="s">
        <v>899</v>
      </c>
      <c r="E287" s="167" t="s">
        <v>899</v>
      </c>
      <c r="F287" s="167" t="s">
        <v>899</v>
      </c>
      <c r="G287" s="167" t="s">
        <v>899</v>
      </c>
      <c r="H287" s="167" t="s">
        <v>899</v>
      </c>
      <c r="I287" s="167" t="s">
        <v>899</v>
      </c>
      <c r="J287" s="167" t="s">
        <v>899</v>
      </c>
      <c r="K287" s="166"/>
    </row>
    <row r="288" spans="1:11" x14ac:dyDescent="0.2">
      <c r="A288" s="166"/>
      <c r="B288" s="167" t="s">
        <v>899</v>
      </c>
      <c r="C288" s="168" t="s">
        <v>899</v>
      </c>
      <c r="D288" s="168" t="s">
        <v>899</v>
      </c>
      <c r="E288" s="168" t="s">
        <v>899</v>
      </c>
      <c r="F288" s="168" t="s">
        <v>899</v>
      </c>
      <c r="G288" s="168"/>
      <c r="H288" s="168"/>
      <c r="I288" s="168" t="s">
        <v>899</v>
      </c>
      <c r="J288" s="168" t="s">
        <v>899</v>
      </c>
      <c r="K288" s="166"/>
    </row>
    <row r="289" spans="1:11" x14ac:dyDescent="0.2">
      <c r="A289" s="166"/>
      <c r="B289" s="167" t="s">
        <v>899</v>
      </c>
      <c r="C289" s="168" t="s">
        <v>899</v>
      </c>
      <c r="D289" s="167" t="s">
        <v>899</v>
      </c>
      <c r="E289" s="167" t="s">
        <v>899</v>
      </c>
      <c r="F289" s="167" t="s">
        <v>899</v>
      </c>
      <c r="G289" s="167" t="s">
        <v>899</v>
      </c>
      <c r="H289" s="167" t="s">
        <v>899</v>
      </c>
      <c r="I289" s="167" t="s">
        <v>899</v>
      </c>
      <c r="J289" s="167" t="s">
        <v>899</v>
      </c>
      <c r="K289" s="166"/>
    </row>
    <row r="290" spans="1:11" x14ac:dyDescent="0.2">
      <c r="A290" s="166"/>
      <c r="B290" s="167" t="s">
        <v>899</v>
      </c>
      <c r="C290" s="168" t="s">
        <v>899</v>
      </c>
      <c r="D290" s="168" t="s">
        <v>899</v>
      </c>
      <c r="E290" s="168" t="s">
        <v>899</v>
      </c>
      <c r="F290" s="168" t="s">
        <v>899</v>
      </c>
      <c r="G290" s="168"/>
      <c r="H290" s="168"/>
      <c r="I290" s="168" t="s">
        <v>899</v>
      </c>
      <c r="J290" s="168" t="s">
        <v>899</v>
      </c>
      <c r="K290" s="166"/>
    </row>
    <row r="291" spans="1:11" x14ac:dyDescent="0.2">
      <c r="A291" s="166"/>
      <c r="B291" s="167" t="s">
        <v>899</v>
      </c>
      <c r="C291" s="168" t="s">
        <v>899</v>
      </c>
      <c r="D291" s="167" t="s">
        <v>899</v>
      </c>
      <c r="E291" s="167" t="s">
        <v>899</v>
      </c>
      <c r="F291" s="167" t="s">
        <v>899</v>
      </c>
      <c r="G291" s="167" t="s">
        <v>899</v>
      </c>
      <c r="H291" s="167" t="s">
        <v>899</v>
      </c>
      <c r="I291" s="167" t="s">
        <v>899</v>
      </c>
      <c r="J291" s="167" t="s">
        <v>899</v>
      </c>
      <c r="K291" s="166"/>
    </row>
    <row r="292" spans="1:11" x14ac:dyDescent="0.2">
      <c r="A292" s="166"/>
      <c r="B292" s="167" t="s">
        <v>899</v>
      </c>
      <c r="C292" s="168" t="s">
        <v>899</v>
      </c>
      <c r="D292" s="168" t="s">
        <v>899</v>
      </c>
      <c r="E292" s="168" t="s">
        <v>899</v>
      </c>
      <c r="F292" s="168" t="s">
        <v>899</v>
      </c>
      <c r="G292" s="168"/>
      <c r="H292" s="168"/>
      <c r="I292" s="168" t="s">
        <v>899</v>
      </c>
      <c r="J292" s="168" t="s">
        <v>899</v>
      </c>
      <c r="K292" s="166"/>
    </row>
    <row r="293" spans="1:11" x14ac:dyDescent="0.2">
      <c r="A293" s="166"/>
      <c r="B293" s="167" t="s">
        <v>899</v>
      </c>
      <c r="C293" s="168" t="s">
        <v>899</v>
      </c>
      <c r="D293" s="167" t="s">
        <v>899</v>
      </c>
      <c r="E293" s="167" t="s">
        <v>899</v>
      </c>
      <c r="F293" s="167" t="s">
        <v>899</v>
      </c>
      <c r="G293" s="167" t="s">
        <v>899</v>
      </c>
      <c r="H293" s="167" t="s">
        <v>899</v>
      </c>
      <c r="I293" s="167" t="s">
        <v>899</v>
      </c>
      <c r="J293" s="167" t="s">
        <v>899</v>
      </c>
      <c r="K293" s="166"/>
    </row>
    <row r="294" spans="1:11" x14ac:dyDescent="0.2">
      <c r="A294" s="166"/>
      <c r="B294" s="167" t="s">
        <v>899</v>
      </c>
      <c r="C294" s="168" t="s">
        <v>899</v>
      </c>
      <c r="D294" s="168" t="s">
        <v>899</v>
      </c>
      <c r="E294" s="168" t="s">
        <v>899</v>
      </c>
      <c r="F294" s="168" t="s">
        <v>899</v>
      </c>
      <c r="G294" s="168"/>
      <c r="H294" s="168"/>
      <c r="I294" s="168" t="s">
        <v>899</v>
      </c>
      <c r="J294" s="168" t="s">
        <v>899</v>
      </c>
      <c r="K294" s="166"/>
    </row>
    <row r="295" spans="1:11" x14ac:dyDescent="0.2">
      <c r="A295" s="166"/>
      <c r="B295" s="167" t="s">
        <v>899</v>
      </c>
      <c r="C295" s="168" t="s">
        <v>899</v>
      </c>
      <c r="D295" s="167" t="s">
        <v>899</v>
      </c>
      <c r="E295" s="167" t="s">
        <v>899</v>
      </c>
      <c r="F295" s="167" t="s">
        <v>899</v>
      </c>
      <c r="G295" s="167" t="s">
        <v>899</v>
      </c>
      <c r="H295" s="167" t="s">
        <v>899</v>
      </c>
      <c r="I295" s="167" t="s">
        <v>899</v>
      </c>
      <c r="J295" s="167" t="s">
        <v>899</v>
      </c>
      <c r="K295" s="166"/>
    </row>
    <row r="296" spans="1:11" x14ac:dyDescent="0.2">
      <c r="A296" s="166"/>
      <c r="B296" s="167" t="s">
        <v>899</v>
      </c>
      <c r="C296" s="168" t="s">
        <v>899</v>
      </c>
      <c r="D296" s="168" t="s">
        <v>899</v>
      </c>
      <c r="E296" s="168" t="s">
        <v>899</v>
      </c>
      <c r="F296" s="168" t="s">
        <v>899</v>
      </c>
      <c r="G296" s="168"/>
      <c r="H296" s="168"/>
      <c r="I296" s="168" t="s">
        <v>899</v>
      </c>
      <c r="J296" s="168" t="s">
        <v>899</v>
      </c>
      <c r="K296" s="166"/>
    </row>
    <row r="297" spans="1:11" x14ac:dyDescent="0.2">
      <c r="A297" s="166"/>
      <c r="B297" s="167" t="s">
        <v>899</v>
      </c>
      <c r="C297" s="168" t="s">
        <v>899</v>
      </c>
      <c r="D297" s="167" t="s">
        <v>899</v>
      </c>
      <c r="E297" s="167" t="s">
        <v>899</v>
      </c>
      <c r="F297" s="167" t="s">
        <v>899</v>
      </c>
      <c r="G297" s="167" t="s">
        <v>899</v>
      </c>
      <c r="H297" s="167" t="s">
        <v>899</v>
      </c>
      <c r="I297" s="167" t="s">
        <v>899</v>
      </c>
      <c r="J297" s="167" t="s">
        <v>899</v>
      </c>
      <c r="K297" s="166"/>
    </row>
    <row r="298" spans="1:11" x14ac:dyDescent="0.2">
      <c r="A298" s="166"/>
      <c r="B298" s="167" t="s">
        <v>899</v>
      </c>
      <c r="C298" s="168" t="s">
        <v>899</v>
      </c>
      <c r="D298" s="168" t="s">
        <v>899</v>
      </c>
      <c r="E298" s="168" t="s">
        <v>899</v>
      </c>
      <c r="F298" s="168" t="s">
        <v>899</v>
      </c>
      <c r="G298" s="168"/>
      <c r="H298" s="168"/>
      <c r="I298" s="168" t="s">
        <v>899</v>
      </c>
      <c r="J298" s="168" t="s">
        <v>899</v>
      </c>
      <c r="K298" s="166"/>
    </row>
    <row r="299" spans="1:11" x14ac:dyDescent="0.2">
      <c r="A299" s="166"/>
      <c r="B299" s="167" t="s">
        <v>899</v>
      </c>
      <c r="C299" s="168" t="s">
        <v>899</v>
      </c>
      <c r="D299" s="167" t="s">
        <v>899</v>
      </c>
      <c r="E299" s="167" t="s">
        <v>899</v>
      </c>
      <c r="F299" s="167" t="s">
        <v>899</v>
      </c>
      <c r="G299" s="167" t="s">
        <v>899</v>
      </c>
      <c r="H299" s="167" t="s">
        <v>899</v>
      </c>
      <c r="I299" s="167" t="s">
        <v>899</v>
      </c>
      <c r="J299" s="167" t="s">
        <v>899</v>
      </c>
      <c r="K299" s="166"/>
    </row>
    <row r="300" spans="1:11" x14ac:dyDescent="0.2">
      <c r="A300" s="166"/>
      <c r="B300" s="167" t="s">
        <v>899</v>
      </c>
      <c r="C300" s="168" t="s">
        <v>899</v>
      </c>
      <c r="D300" s="168" t="s">
        <v>899</v>
      </c>
      <c r="E300" s="168" t="s">
        <v>899</v>
      </c>
      <c r="F300" s="168" t="s">
        <v>899</v>
      </c>
      <c r="G300" s="168"/>
      <c r="H300" s="168"/>
      <c r="I300" s="168" t="s">
        <v>899</v>
      </c>
      <c r="J300" s="168" t="s">
        <v>899</v>
      </c>
      <c r="K300" s="166"/>
    </row>
    <row r="301" spans="1:11" x14ac:dyDescent="0.2">
      <c r="A301" s="166"/>
      <c r="B301" s="167" t="s">
        <v>899</v>
      </c>
      <c r="C301" s="168" t="s">
        <v>899</v>
      </c>
      <c r="D301" s="167" t="s">
        <v>899</v>
      </c>
      <c r="E301" s="167" t="s">
        <v>899</v>
      </c>
      <c r="F301" s="167" t="s">
        <v>899</v>
      </c>
      <c r="G301" s="167" t="s">
        <v>899</v>
      </c>
      <c r="H301" s="167" t="s">
        <v>899</v>
      </c>
      <c r="I301" s="167" t="s">
        <v>899</v>
      </c>
      <c r="J301" s="167" t="s">
        <v>899</v>
      </c>
      <c r="K301" s="166"/>
    </row>
    <row r="302" spans="1:11" x14ac:dyDescent="0.2">
      <c r="A302" s="166"/>
      <c r="B302" s="167" t="s">
        <v>899</v>
      </c>
      <c r="C302" s="168" t="s">
        <v>899</v>
      </c>
      <c r="D302" s="168" t="s">
        <v>899</v>
      </c>
      <c r="E302" s="168" t="s">
        <v>899</v>
      </c>
      <c r="F302" s="168" t="s">
        <v>899</v>
      </c>
      <c r="G302" s="168"/>
      <c r="H302" s="168"/>
      <c r="I302" s="168" t="s">
        <v>899</v>
      </c>
      <c r="J302" s="168" t="s">
        <v>899</v>
      </c>
      <c r="K302" s="166"/>
    </row>
    <row r="303" spans="1:11" x14ac:dyDescent="0.2">
      <c r="A303" s="166"/>
      <c r="B303" s="167" t="s">
        <v>899</v>
      </c>
      <c r="C303" s="168" t="s">
        <v>899</v>
      </c>
      <c r="D303" s="167" t="s">
        <v>899</v>
      </c>
      <c r="E303" s="167" t="s">
        <v>899</v>
      </c>
      <c r="F303" s="167" t="s">
        <v>899</v>
      </c>
      <c r="G303" s="167" t="s">
        <v>899</v>
      </c>
      <c r="H303" s="167" t="s">
        <v>899</v>
      </c>
      <c r="I303" s="167" t="s">
        <v>899</v>
      </c>
      <c r="J303" s="167" t="s">
        <v>899</v>
      </c>
      <c r="K303" s="166"/>
    </row>
    <row r="304" spans="1:11" x14ac:dyDescent="0.2">
      <c r="A304" s="166"/>
      <c r="B304" s="167" t="s">
        <v>899</v>
      </c>
      <c r="C304" s="168" t="s">
        <v>899</v>
      </c>
      <c r="D304" s="168" t="s">
        <v>899</v>
      </c>
      <c r="E304" s="168" t="s">
        <v>899</v>
      </c>
      <c r="F304" s="168" t="s">
        <v>899</v>
      </c>
      <c r="G304" s="168"/>
      <c r="H304" s="168"/>
      <c r="I304" s="168" t="s">
        <v>899</v>
      </c>
      <c r="J304" s="168" t="s">
        <v>899</v>
      </c>
      <c r="K304" s="166"/>
    </row>
    <row r="305" spans="1:11" x14ac:dyDescent="0.2">
      <c r="A305" s="166"/>
      <c r="B305" s="167" t="s">
        <v>899</v>
      </c>
      <c r="C305" s="168" t="s">
        <v>899</v>
      </c>
      <c r="D305" s="167" t="s">
        <v>899</v>
      </c>
      <c r="E305" s="167" t="s">
        <v>899</v>
      </c>
      <c r="F305" s="167" t="s">
        <v>899</v>
      </c>
      <c r="G305" s="167" t="s">
        <v>899</v>
      </c>
      <c r="H305" s="167" t="s">
        <v>899</v>
      </c>
      <c r="I305" s="167" t="s">
        <v>899</v>
      </c>
      <c r="J305" s="167" t="s">
        <v>899</v>
      </c>
      <c r="K305" s="166"/>
    </row>
    <row r="306" spans="1:11" x14ac:dyDescent="0.2">
      <c r="A306" s="166"/>
      <c r="B306" s="167" t="s">
        <v>899</v>
      </c>
      <c r="C306" s="168" t="s">
        <v>899</v>
      </c>
      <c r="D306" s="168" t="s">
        <v>899</v>
      </c>
      <c r="E306" s="168" t="s">
        <v>899</v>
      </c>
      <c r="F306" s="168" t="s">
        <v>899</v>
      </c>
      <c r="G306" s="168"/>
      <c r="H306" s="168"/>
      <c r="I306" s="168" t="s">
        <v>899</v>
      </c>
      <c r="J306" s="168" t="s">
        <v>899</v>
      </c>
      <c r="K306" s="166"/>
    </row>
    <row r="307" spans="1:11" x14ac:dyDescent="0.2">
      <c r="A307" s="166"/>
      <c r="B307" s="167" t="s">
        <v>899</v>
      </c>
      <c r="C307" s="168" t="s">
        <v>899</v>
      </c>
      <c r="D307" s="167" t="s">
        <v>899</v>
      </c>
      <c r="E307" s="167" t="s">
        <v>899</v>
      </c>
      <c r="F307" s="167" t="s">
        <v>899</v>
      </c>
      <c r="G307" s="167" t="s">
        <v>899</v>
      </c>
      <c r="H307" s="167" t="s">
        <v>899</v>
      </c>
      <c r="I307" s="167" t="s">
        <v>899</v>
      </c>
      <c r="J307" s="167" t="s">
        <v>899</v>
      </c>
      <c r="K307" s="166"/>
    </row>
    <row r="308" spans="1:11" x14ac:dyDescent="0.2">
      <c r="A308" s="166"/>
      <c r="B308" s="167" t="s">
        <v>899</v>
      </c>
      <c r="C308" s="168" t="s">
        <v>899</v>
      </c>
      <c r="D308" s="168" t="s">
        <v>899</v>
      </c>
      <c r="E308" s="168" t="s">
        <v>899</v>
      </c>
      <c r="F308" s="168" t="s">
        <v>899</v>
      </c>
      <c r="G308" s="168"/>
      <c r="H308" s="168"/>
      <c r="I308" s="168" t="s">
        <v>899</v>
      </c>
      <c r="J308" s="168" t="s">
        <v>899</v>
      </c>
      <c r="K308" s="166"/>
    </row>
    <row r="309" spans="1:11" x14ac:dyDescent="0.2">
      <c r="A309" s="166"/>
      <c r="B309" s="167" t="s">
        <v>899</v>
      </c>
      <c r="C309" s="168" t="s">
        <v>899</v>
      </c>
      <c r="D309" s="167" t="s">
        <v>899</v>
      </c>
      <c r="E309" s="167" t="s">
        <v>899</v>
      </c>
      <c r="F309" s="167" t="s">
        <v>899</v>
      </c>
      <c r="G309" s="167" t="s">
        <v>899</v>
      </c>
      <c r="H309" s="167" t="s">
        <v>899</v>
      </c>
      <c r="I309" s="167" t="s">
        <v>899</v>
      </c>
      <c r="J309" s="167" t="s">
        <v>899</v>
      </c>
      <c r="K309" s="166"/>
    </row>
    <row r="310" spans="1:11" x14ac:dyDescent="0.2">
      <c r="A310" s="166"/>
      <c r="B310" s="167" t="s">
        <v>899</v>
      </c>
      <c r="C310" s="168" t="s">
        <v>899</v>
      </c>
      <c r="D310" s="168" t="s">
        <v>899</v>
      </c>
      <c r="E310" s="168" t="s">
        <v>899</v>
      </c>
      <c r="F310" s="168" t="s">
        <v>899</v>
      </c>
      <c r="G310" s="168"/>
      <c r="H310" s="168"/>
      <c r="I310" s="168" t="s">
        <v>899</v>
      </c>
      <c r="J310" s="168" t="s">
        <v>899</v>
      </c>
      <c r="K310" s="166"/>
    </row>
    <row r="311" spans="1:11" x14ac:dyDescent="0.2">
      <c r="A311" s="166"/>
      <c r="B311" s="167" t="s">
        <v>899</v>
      </c>
      <c r="C311" s="168" t="s">
        <v>899</v>
      </c>
      <c r="D311" s="167" t="s">
        <v>899</v>
      </c>
      <c r="E311" s="167" t="s">
        <v>899</v>
      </c>
      <c r="F311" s="167" t="s">
        <v>899</v>
      </c>
      <c r="G311" s="167" t="s">
        <v>899</v>
      </c>
      <c r="H311" s="167" t="s">
        <v>899</v>
      </c>
      <c r="I311" s="167" t="s">
        <v>899</v>
      </c>
      <c r="J311" s="167" t="s">
        <v>899</v>
      </c>
      <c r="K311" s="166"/>
    </row>
    <row r="312" spans="1:11" x14ac:dyDescent="0.2">
      <c r="A312" s="166"/>
      <c r="B312" s="167" t="s">
        <v>899</v>
      </c>
      <c r="C312" s="168" t="s">
        <v>899</v>
      </c>
      <c r="D312" s="168" t="s">
        <v>899</v>
      </c>
      <c r="E312" s="168" t="s">
        <v>899</v>
      </c>
      <c r="F312" s="168" t="s">
        <v>899</v>
      </c>
      <c r="G312" s="168"/>
      <c r="H312" s="168"/>
      <c r="I312" s="168" t="s">
        <v>899</v>
      </c>
      <c r="J312" s="168" t="s">
        <v>899</v>
      </c>
      <c r="K312" s="166"/>
    </row>
    <row r="313" spans="1:11" x14ac:dyDescent="0.2">
      <c r="A313" s="166"/>
      <c r="B313" s="167" t="s">
        <v>899</v>
      </c>
      <c r="C313" s="168" t="s">
        <v>899</v>
      </c>
      <c r="D313" s="167" t="s">
        <v>899</v>
      </c>
      <c r="E313" s="167" t="s">
        <v>899</v>
      </c>
      <c r="F313" s="167" t="s">
        <v>899</v>
      </c>
      <c r="G313" s="167" t="s">
        <v>899</v>
      </c>
      <c r="H313" s="167" t="s">
        <v>899</v>
      </c>
      <c r="I313" s="167" t="s">
        <v>899</v>
      </c>
      <c r="J313" s="167" t="s">
        <v>899</v>
      </c>
      <c r="K313" s="166"/>
    </row>
    <row r="314" spans="1:11" x14ac:dyDescent="0.2">
      <c r="A314" s="166"/>
      <c r="B314" s="167" t="s">
        <v>899</v>
      </c>
      <c r="C314" s="168" t="s">
        <v>899</v>
      </c>
      <c r="D314" s="168" t="s">
        <v>899</v>
      </c>
      <c r="E314" s="168" t="s">
        <v>899</v>
      </c>
      <c r="F314" s="168" t="s">
        <v>899</v>
      </c>
      <c r="G314" s="168"/>
      <c r="H314" s="168"/>
      <c r="I314" s="168" t="s">
        <v>899</v>
      </c>
      <c r="J314" s="168" t="s">
        <v>899</v>
      </c>
      <c r="K314" s="166"/>
    </row>
    <row r="315" spans="1:11" x14ac:dyDescent="0.2">
      <c r="A315" s="166"/>
      <c r="B315" s="167" t="s">
        <v>899</v>
      </c>
      <c r="C315" s="168" t="s">
        <v>899</v>
      </c>
      <c r="D315" s="167" t="s">
        <v>899</v>
      </c>
      <c r="E315" s="167" t="s">
        <v>899</v>
      </c>
      <c r="F315" s="167" t="s">
        <v>899</v>
      </c>
      <c r="G315" s="167" t="s">
        <v>899</v>
      </c>
      <c r="H315" s="167" t="s">
        <v>899</v>
      </c>
      <c r="I315" s="167" t="s">
        <v>899</v>
      </c>
      <c r="J315" s="167" t="s">
        <v>899</v>
      </c>
      <c r="K315" s="166"/>
    </row>
    <row r="316" spans="1:11" x14ac:dyDescent="0.2">
      <c r="A316" s="166"/>
      <c r="B316" s="167" t="s">
        <v>899</v>
      </c>
      <c r="C316" s="168" t="s">
        <v>899</v>
      </c>
      <c r="D316" s="168" t="s">
        <v>899</v>
      </c>
      <c r="E316" s="168" t="s">
        <v>899</v>
      </c>
      <c r="F316" s="168" t="s">
        <v>899</v>
      </c>
      <c r="G316" s="168"/>
      <c r="H316" s="168"/>
      <c r="I316" s="168" t="s">
        <v>899</v>
      </c>
      <c r="J316" s="168" t="s">
        <v>899</v>
      </c>
      <c r="K316" s="166"/>
    </row>
    <row r="317" spans="1:11" x14ac:dyDescent="0.2">
      <c r="A317" s="166"/>
      <c r="B317" s="167" t="s">
        <v>899</v>
      </c>
      <c r="C317" s="168" t="s">
        <v>899</v>
      </c>
      <c r="D317" s="167" t="s">
        <v>899</v>
      </c>
      <c r="E317" s="167" t="s">
        <v>899</v>
      </c>
      <c r="F317" s="167" t="s">
        <v>899</v>
      </c>
      <c r="G317" s="167" t="s">
        <v>899</v>
      </c>
      <c r="H317" s="167" t="s">
        <v>899</v>
      </c>
      <c r="I317" s="167" t="s">
        <v>899</v>
      </c>
      <c r="J317" s="167" t="s">
        <v>899</v>
      </c>
      <c r="K317" s="166"/>
    </row>
    <row r="318" spans="1:11" x14ac:dyDescent="0.2">
      <c r="A318" s="166"/>
      <c r="B318" s="167" t="s">
        <v>899</v>
      </c>
      <c r="C318" s="168" t="s">
        <v>899</v>
      </c>
      <c r="D318" s="168" t="s">
        <v>899</v>
      </c>
      <c r="E318" s="168" t="s">
        <v>899</v>
      </c>
      <c r="F318" s="168" t="s">
        <v>899</v>
      </c>
      <c r="G318" s="168"/>
      <c r="H318" s="168"/>
      <c r="I318" s="168" t="s">
        <v>899</v>
      </c>
      <c r="J318" s="168" t="s">
        <v>899</v>
      </c>
      <c r="K318" s="166"/>
    </row>
    <row r="319" spans="1:11" x14ac:dyDescent="0.2">
      <c r="A319" s="166"/>
      <c r="B319" s="167" t="s">
        <v>899</v>
      </c>
      <c r="C319" s="168" t="s">
        <v>899</v>
      </c>
      <c r="D319" s="167" t="s">
        <v>899</v>
      </c>
      <c r="E319" s="167" t="s">
        <v>899</v>
      </c>
      <c r="F319" s="167" t="s">
        <v>899</v>
      </c>
      <c r="G319" s="167" t="s">
        <v>899</v>
      </c>
      <c r="H319" s="167" t="s">
        <v>899</v>
      </c>
      <c r="I319" s="167" t="s">
        <v>899</v>
      </c>
      <c r="J319" s="167" t="s">
        <v>899</v>
      </c>
      <c r="K319" s="166"/>
    </row>
    <row r="320" spans="1:11" x14ac:dyDescent="0.2">
      <c r="A320" s="166"/>
      <c r="B320" s="167" t="s">
        <v>899</v>
      </c>
      <c r="C320" s="168" t="s">
        <v>899</v>
      </c>
      <c r="D320" s="168" t="s">
        <v>899</v>
      </c>
      <c r="E320" s="168" t="s">
        <v>899</v>
      </c>
      <c r="F320" s="168" t="s">
        <v>899</v>
      </c>
      <c r="G320" s="168"/>
      <c r="H320" s="168"/>
      <c r="I320" s="168" t="s">
        <v>899</v>
      </c>
      <c r="J320" s="168" t="s">
        <v>899</v>
      </c>
      <c r="K320" s="166"/>
    </row>
    <row r="321" spans="1:11" x14ac:dyDescent="0.2">
      <c r="A321" s="166"/>
      <c r="B321" s="167" t="s">
        <v>899</v>
      </c>
      <c r="C321" s="168" t="s">
        <v>899</v>
      </c>
      <c r="D321" s="167" t="s">
        <v>899</v>
      </c>
      <c r="E321" s="167" t="s">
        <v>899</v>
      </c>
      <c r="F321" s="167" t="s">
        <v>899</v>
      </c>
      <c r="G321" s="167" t="s">
        <v>899</v>
      </c>
      <c r="H321" s="167" t="s">
        <v>899</v>
      </c>
      <c r="I321" s="167" t="s">
        <v>899</v>
      </c>
      <c r="J321" s="167" t="s">
        <v>899</v>
      </c>
      <c r="K321" s="166"/>
    </row>
    <row r="322" spans="1:11" x14ac:dyDescent="0.2">
      <c r="A322" s="166"/>
      <c r="B322" s="167" t="s">
        <v>899</v>
      </c>
      <c r="C322" s="168" t="s">
        <v>899</v>
      </c>
      <c r="D322" s="168" t="s">
        <v>899</v>
      </c>
      <c r="E322" s="168" t="s">
        <v>899</v>
      </c>
      <c r="F322" s="168" t="s">
        <v>899</v>
      </c>
      <c r="G322" s="168"/>
      <c r="H322" s="168"/>
      <c r="I322" s="168" t="s">
        <v>899</v>
      </c>
      <c r="J322" s="168" t="s">
        <v>899</v>
      </c>
      <c r="K322" s="166"/>
    </row>
    <row r="323" spans="1:11" x14ac:dyDescent="0.2">
      <c r="A323" s="166"/>
      <c r="B323" s="167" t="s">
        <v>899</v>
      </c>
      <c r="C323" s="168" t="s">
        <v>899</v>
      </c>
      <c r="D323" s="167" t="s">
        <v>899</v>
      </c>
      <c r="E323" s="167" t="s">
        <v>899</v>
      </c>
      <c r="F323" s="167" t="s">
        <v>899</v>
      </c>
      <c r="G323" s="167" t="s">
        <v>899</v>
      </c>
      <c r="H323" s="167" t="s">
        <v>899</v>
      </c>
      <c r="I323" s="167" t="s">
        <v>899</v>
      </c>
      <c r="J323" s="167" t="s">
        <v>899</v>
      </c>
      <c r="K323" s="166"/>
    </row>
    <row r="324" spans="1:11" x14ac:dyDescent="0.2">
      <c r="A324" s="166"/>
      <c r="B324" s="167" t="s">
        <v>899</v>
      </c>
      <c r="C324" s="168" t="s">
        <v>899</v>
      </c>
      <c r="D324" s="168" t="s">
        <v>899</v>
      </c>
      <c r="E324" s="168" t="s">
        <v>899</v>
      </c>
      <c r="F324" s="168" t="s">
        <v>899</v>
      </c>
      <c r="G324" s="168"/>
      <c r="H324" s="168"/>
      <c r="I324" s="168" t="s">
        <v>899</v>
      </c>
      <c r="J324" s="168" t="s">
        <v>899</v>
      </c>
      <c r="K324" s="166"/>
    </row>
    <row r="325" spans="1:11" x14ac:dyDescent="0.2">
      <c r="A325" s="166"/>
      <c r="B325" s="167" t="s">
        <v>899</v>
      </c>
      <c r="C325" s="168" t="s">
        <v>899</v>
      </c>
      <c r="D325" s="167" t="s">
        <v>899</v>
      </c>
      <c r="E325" s="167" t="s">
        <v>899</v>
      </c>
      <c r="F325" s="167" t="s">
        <v>899</v>
      </c>
      <c r="G325" s="167" t="s">
        <v>899</v>
      </c>
      <c r="H325" s="167" t="s">
        <v>899</v>
      </c>
      <c r="I325" s="167" t="s">
        <v>899</v>
      </c>
      <c r="J325" s="167" t="s">
        <v>899</v>
      </c>
      <c r="K325" s="166"/>
    </row>
    <row r="326" spans="1:11" x14ac:dyDescent="0.2">
      <c r="A326" s="166"/>
      <c r="B326" s="167" t="s">
        <v>899</v>
      </c>
      <c r="C326" s="168" t="s">
        <v>899</v>
      </c>
      <c r="D326" s="168" t="s">
        <v>899</v>
      </c>
      <c r="E326" s="168" t="s">
        <v>899</v>
      </c>
      <c r="F326" s="168" t="s">
        <v>899</v>
      </c>
      <c r="G326" s="168"/>
      <c r="H326" s="168"/>
      <c r="I326" s="168" t="s">
        <v>899</v>
      </c>
      <c r="J326" s="168" t="s">
        <v>899</v>
      </c>
      <c r="K326" s="166"/>
    </row>
    <row r="327" spans="1:11" x14ac:dyDescent="0.2">
      <c r="A327" s="166"/>
      <c r="B327" s="167" t="s">
        <v>899</v>
      </c>
      <c r="C327" s="168" t="s">
        <v>899</v>
      </c>
      <c r="D327" s="167" t="s">
        <v>899</v>
      </c>
      <c r="E327" s="167" t="s">
        <v>899</v>
      </c>
      <c r="F327" s="167" t="s">
        <v>899</v>
      </c>
      <c r="G327" s="167" t="s">
        <v>899</v>
      </c>
      <c r="H327" s="167" t="s">
        <v>899</v>
      </c>
      <c r="I327" s="167" t="s">
        <v>899</v>
      </c>
      <c r="J327" s="167" t="s">
        <v>899</v>
      </c>
      <c r="K327" s="166"/>
    </row>
    <row r="328" spans="1:11" x14ac:dyDescent="0.2">
      <c r="A328" s="166"/>
      <c r="B328" s="167" t="s">
        <v>899</v>
      </c>
      <c r="C328" s="168" t="s">
        <v>899</v>
      </c>
      <c r="D328" s="168" t="s">
        <v>899</v>
      </c>
      <c r="E328" s="168" t="s">
        <v>899</v>
      </c>
      <c r="F328" s="168" t="s">
        <v>899</v>
      </c>
      <c r="G328" s="168"/>
      <c r="H328" s="168"/>
      <c r="I328" s="168" t="s">
        <v>899</v>
      </c>
      <c r="J328" s="168" t="s">
        <v>899</v>
      </c>
      <c r="K328" s="166"/>
    </row>
    <row r="329" spans="1:11" x14ac:dyDescent="0.2">
      <c r="A329" s="166"/>
      <c r="B329" s="167" t="s">
        <v>899</v>
      </c>
      <c r="C329" s="168" t="s">
        <v>899</v>
      </c>
      <c r="D329" s="167" t="s">
        <v>899</v>
      </c>
      <c r="E329" s="167" t="s">
        <v>899</v>
      </c>
      <c r="F329" s="167" t="s">
        <v>899</v>
      </c>
      <c r="G329" s="167" t="s">
        <v>899</v>
      </c>
      <c r="H329" s="167" t="s">
        <v>899</v>
      </c>
      <c r="I329" s="167" t="s">
        <v>899</v>
      </c>
      <c r="J329" s="167" t="s">
        <v>899</v>
      </c>
      <c r="K329" s="166"/>
    </row>
    <row r="330" spans="1:11" x14ac:dyDescent="0.2">
      <c r="A330" s="166"/>
      <c r="B330" s="167" t="s">
        <v>899</v>
      </c>
      <c r="C330" s="168" t="s">
        <v>899</v>
      </c>
      <c r="D330" s="168" t="s">
        <v>899</v>
      </c>
      <c r="E330" s="168" t="s">
        <v>899</v>
      </c>
      <c r="F330" s="168" t="s">
        <v>899</v>
      </c>
      <c r="G330" s="168"/>
      <c r="H330" s="168"/>
      <c r="I330" s="168" t="s">
        <v>899</v>
      </c>
      <c r="J330" s="168" t="s">
        <v>899</v>
      </c>
      <c r="K330" s="166"/>
    </row>
    <row r="331" spans="1:11" x14ac:dyDescent="0.2">
      <c r="A331" s="166"/>
      <c r="B331" s="167" t="s">
        <v>899</v>
      </c>
      <c r="C331" s="168" t="s">
        <v>899</v>
      </c>
      <c r="D331" s="167" t="s">
        <v>899</v>
      </c>
      <c r="E331" s="167" t="s">
        <v>899</v>
      </c>
      <c r="F331" s="167" t="s">
        <v>899</v>
      </c>
      <c r="G331" s="167" t="s">
        <v>899</v>
      </c>
      <c r="H331" s="167" t="s">
        <v>899</v>
      </c>
      <c r="I331" s="167" t="s">
        <v>899</v>
      </c>
      <c r="J331" s="167" t="s">
        <v>899</v>
      </c>
      <c r="K331" s="166"/>
    </row>
    <row r="332" spans="1:11" x14ac:dyDescent="0.2">
      <c r="A332" s="166"/>
      <c r="B332" s="167" t="s">
        <v>899</v>
      </c>
      <c r="C332" s="168" t="s">
        <v>899</v>
      </c>
      <c r="D332" s="168" t="s">
        <v>899</v>
      </c>
      <c r="E332" s="168" t="s">
        <v>899</v>
      </c>
      <c r="F332" s="168" t="s">
        <v>899</v>
      </c>
      <c r="G332" s="168"/>
      <c r="H332" s="168"/>
      <c r="I332" s="168" t="s">
        <v>899</v>
      </c>
      <c r="J332" s="168" t="s">
        <v>899</v>
      </c>
      <c r="K332" s="166"/>
    </row>
    <row r="333" spans="1:11" x14ac:dyDescent="0.2">
      <c r="A333" s="166"/>
      <c r="B333" s="167" t="s">
        <v>899</v>
      </c>
      <c r="C333" s="168" t="s">
        <v>899</v>
      </c>
      <c r="D333" s="167" t="s">
        <v>899</v>
      </c>
      <c r="E333" s="167" t="s">
        <v>899</v>
      </c>
      <c r="F333" s="167" t="s">
        <v>899</v>
      </c>
      <c r="G333" s="167" t="s">
        <v>899</v>
      </c>
      <c r="H333" s="167" t="s">
        <v>899</v>
      </c>
      <c r="I333" s="167" t="s">
        <v>899</v>
      </c>
      <c r="J333" s="167" t="s">
        <v>899</v>
      </c>
      <c r="K333" s="166"/>
    </row>
    <row r="334" spans="1:11" x14ac:dyDescent="0.2">
      <c r="A334" s="166"/>
      <c r="B334" s="167" t="s">
        <v>899</v>
      </c>
      <c r="C334" s="168" t="s">
        <v>899</v>
      </c>
      <c r="D334" s="168" t="s">
        <v>899</v>
      </c>
      <c r="E334" s="168" t="s">
        <v>899</v>
      </c>
      <c r="F334" s="168" t="s">
        <v>899</v>
      </c>
      <c r="G334" s="168"/>
      <c r="H334" s="168"/>
      <c r="I334" s="168" t="s">
        <v>899</v>
      </c>
      <c r="J334" s="168" t="s">
        <v>899</v>
      </c>
      <c r="K334" s="166"/>
    </row>
    <row r="335" spans="1:11" x14ac:dyDescent="0.2">
      <c r="A335" s="166"/>
      <c r="B335" s="167" t="s">
        <v>899</v>
      </c>
      <c r="C335" s="168" t="s">
        <v>899</v>
      </c>
      <c r="D335" s="167" t="s">
        <v>899</v>
      </c>
      <c r="E335" s="167" t="s">
        <v>899</v>
      </c>
      <c r="F335" s="167" t="s">
        <v>899</v>
      </c>
      <c r="G335" s="167" t="s">
        <v>899</v>
      </c>
      <c r="H335" s="167" t="s">
        <v>899</v>
      </c>
      <c r="I335" s="167" t="s">
        <v>899</v>
      </c>
      <c r="J335" s="167" t="s">
        <v>899</v>
      </c>
      <c r="K335" s="166"/>
    </row>
    <row r="336" spans="1:11" x14ac:dyDescent="0.2">
      <c r="A336" s="166"/>
      <c r="B336" s="167" t="s">
        <v>899</v>
      </c>
      <c r="C336" s="168" t="s">
        <v>899</v>
      </c>
      <c r="D336" s="168" t="s">
        <v>899</v>
      </c>
      <c r="E336" s="168" t="s">
        <v>899</v>
      </c>
      <c r="F336" s="168" t="s">
        <v>899</v>
      </c>
      <c r="G336" s="168"/>
      <c r="H336" s="168"/>
      <c r="I336" s="168" t="s">
        <v>899</v>
      </c>
      <c r="J336" s="168" t="s">
        <v>899</v>
      </c>
      <c r="K336" s="166"/>
    </row>
    <row r="337" spans="1:11" x14ac:dyDescent="0.2">
      <c r="A337" s="166"/>
      <c r="B337" s="167" t="s">
        <v>899</v>
      </c>
      <c r="C337" s="168" t="s">
        <v>899</v>
      </c>
      <c r="D337" s="167" t="s">
        <v>899</v>
      </c>
      <c r="E337" s="167" t="s">
        <v>899</v>
      </c>
      <c r="F337" s="167" t="s">
        <v>899</v>
      </c>
      <c r="G337" s="167" t="s">
        <v>899</v>
      </c>
      <c r="H337" s="167" t="s">
        <v>899</v>
      </c>
      <c r="I337" s="167" t="s">
        <v>899</v>
      </c>
      <c r="J337" s="167" t="s">
        <v>899</v>
      </c>
      <c r="K337" s="166"/>
    </row>
    <row r="338" spans="1:11" x14ac:dyDescent="0.2">
      <c r="A338" s="166"/>
      <c r="B338" s="167" t="s">
        <v>899</v>
      </c>
      <c r="C338" s="168" t="s">
        <v>899</v>
      </c>
      <c r="D338" s="168" t="s">
        <v>899</v>
      </c>
      <c r="E338" s="168" t="s">
        <v>899</v>
      </c>
      <c r="F338" s="168" t="s">
        <v>899</v>
      </c>
      <c r="G338" s="168"/>
      <c r="H338" s="168"/>
      <c r="I338" s="168" t="s">
        <v>899</v>
      </c>
      <c r="J338" s="168" t="s">
        <v>899</v>
      </c>
      <c r="K338" s="166"/>
    </row>
    <row r="339" spans="1:11" x14ac:dyDescent="0.2">
      <c r="A339" s="166"/>
      <c r="B339" s="167" t="s">
        <v>899</v>
      </c>
      <c r="C339" s="168" t="s">
        <v>899</v>
      </c>
      <c r="D339" s="167" t="s">
        <v>899</v>
      </c>
      <c r="E339" s="167" t="s">
        <v>899</v>
      </c>
      <c r="F339" s="167" t="s">
        <v>899</v>
      </c>
      <c r="G339" s="167" t="s">
        <v>899</v>
      </c>
      <c r="H339" s="167" t="s">
        <v>899</v>
      </c>
      <c r="I339" s="167" t="s">
        <v>899</v>
      </c>
      <c r="J339" s="167" t="s">
        <v>899</v>
      </c>
      <c r="K339" s="166"/>
    </row>
    <row r="340" spans="1:11" x14ac:dyDescent="0.2">
      <c r="A340" s="166"/>
      <c r="B340" s="167" t="s">
        <v>899</v>
      </c>
      <c r="C340" s="168" t="s">
        <v>899</v>
      </c>
      <c r="D340" s="168" t="s">
        <v>899</v>
      </c>
      <c r="E340" s="168" t="s">
        <v>899</v>
      </c>
      <c r="F340" s="168" t="s">
        <v>899</v>
      </c>
      <c r="G340" s="168"/>
      <c r="H340" s="168"/>
      <c r="I340" s="168" t="s">
        <v>899</v>
      </c>
      <c r="J340" s="168" t="s">
        <v>899</v>
      </c>
      <c r="K340" s="166"/>
    </row>
    <row r="341" spans="1:11" x14ac:dyDescent="0.2">
      <c r="A341" s="166"/>
      <c r="B341" s="167" t="s">
        <v>899</v>
      </c>
      <c r="C341" s="168" t="s">
        <v>899</v>
      </c>
      <c r="D341" s="167" t="s">
        <v>899</v>
      </c>
      <c r="E341" s="167" t="s">
        <v>899</v>
      </c>
      <c r="F341" s="167" t="s">
        <v>899</v>
      </c>
      <c r="G341" s="167" t="s">
        <v>899</v>
      </c>
      <c r="H341" s="167" t="s">
        <v>899</v>
      </c>
      <c r="I341" s="167" t="s">
        <v>899</v>
      </c>
      <c r="J341" s="167" t="s">
        <v>899</v>
      </c>
      <c r="K341" s="166"/>
    </row>
    <row r="342" spans="1:11" x14ac:dyDescent="0.2">
      <c r="A342" s="166"/>
      <c r="B342" s="167" t="s">
        <v>899</v>
      </c>
      <c r="C342" s="168" t="s">
        <v>899</v>
      </c>
      <c r="D342" s="168" t="s">
        <v>899</v>
      </c>
      <c r="E342" s="168" t="s">
        <v>899</v>
      </c>
      <c r="F342" s="168" t="s">
        <v>899</v>
      </c>
      <c r="G342" s="168"/>
      <c r="H342" s="168"/>
      <c r="I342" s="168" t="s">
        <v>899</v>
      </c>
      <c r="J342" s="168" t="s">
        <v>899</v>
      </c>
      <c r="K342" s="166"/>
    </row>
    <row r="343" spans="1:11" x14ac:dyDescent="0.2">
      <c r="A343" s="166"/>
      <c r="B343" s="167" t="s">
        <v>899</v>
      </c>
      <c r="C343" s="168" t="s">
        <v>899</v>
      </c>
      <c r="D343" s="167" t="s">
        <v>899</v>
      </c>
      <c r="E343" s="167" t="s">
        <v>899</v>
      </c>
      <c r="F343" s="167" t="s">
        <v>899</v>
      </c>
      <c r="G343" s="167" t="s">
        <v>899</v>
      </c>
      <c r="H343" s="167" t="s">
        <v>899</v>
      </c>
      <c r="I343" s="167" t="s">
        <v>899</v>
      </c>
      <c r="J343" s="167" t="s">
        <v>899</v>
      </c>
      <c r="K343" s="166"/>
    </row>
    <row r="344" spans="1:11" x14ac:dyDescent="0.2">
      <c r="A344" s="166"/>
      <c r="B344" s="167" t="s">
        <v>899</v>
      </c>
      <c r="C344" s="168" t="s">
        <v>899</v>
      </c>
      <c r="D344" s="168" t="s">
        <v>899</v>
      </c>
      <c r="E344" s="168" t="s">
        <v>899</v>
      </c>
      <c r="F344" s="168" t="s">
        <v>899</v>
      </c>
      <c r="G344" s="168"/>
      <c r="H344" s="168"/>
      <c r="I344" s="168" t="s">
        <v>899</v>
      </c>
      <c r="J344" s="168" t="s">
        <v>899</v>
      </c>
      <c r="K344" s="166"/>
    </row>
    <row r="345" spans="1:11" x14ac:dyDescent="0.2">
      <c r="A345" s="166"/>
      <c r="B345" s="167" t="s">
        <v>899</v>
      </c>
      <c r="C345" s="168" t="s">
        <v>899</v>
      </c>
      <c r="D345" s="167" t="s">
        <v>899</v>
      </c>
      <c r="E345" s="167" t="s">
        <v>899</v>
      </c>
      <c r="F345" s="167" t="s">
        <v>899</v>
      </c>
      <c r="G345" s="167" t="s">
        <v>899</v>
      </c>
      <c r="H345" s="167" t="s">
        <v>899</v>
      </c>
      <c r="I345" s="167" t="s">
        <v>899</v>
      </c>
      <c r="J345" s="167" t="s">
        <v>899</v>
      </c>
      <c r="K345" s="166"/>
    </row>
    <row r="346" spans="1:11" x14ac:dyDescent="0.2">
      <c r="A346" s="166"/>
      <c r="B346" s="167" t="s">
        <v>899</v>
      </c>
      <c r="C346" s="168" t="s">
        <v>899</v>
      </c>
      <c r="D346" s="168" t="s">
        <v>899</v>
      </c>
      <c r="E346" s="168" t="s">
        <v>899</v>
      </c>
      <c r="F346" s="168" t="s">
        <v>899</v>
      </c>
      <c r="G346" s="168"/>
      <c r="H346" s="168"/>
      <c r="I346" s="168" t="s">
        <v>899</v>
      </c>
      <c r="J346" s="168" t="s">
        <v>899</v>
      </c>
      <c r="K346" s="166"/>
    </row>
    <row r="347" spans="1:11" x14ac:dyDescent="0.2">
      <c r="A347" s="166"/>
      <c r="B347" s="167" t="s">
        <v>899</v>
      </c>
      <c r="C347" s="168" t="s">
        <v>899</v>
      </c>
      <c r="D347" s="167" t="s">
        <v>899</v>
      </c>
      <c r="E347" s="167" t="s">
        <v>899</v>
      </c>
      <c r="F347" s="167" t="s">
        <v>899</v>
      </c>
      <c r="G347" s="167" t="s">
        <v>899</v>
      </c>
      <c r="H347" s="167" t="s">
        <v>899</v>
      </c>
      <c r="I347" s="167" t="s">
        <v>899</v>
      </c>
      <c r="J347" s="167" t="s">
        <v>899</v>
      </c>
      <c r="K347" s="166"/>
    </row>
    <row r="348" spans="1:11" x14ac:dyDescent="0.2">
      <c r="A348" s="166"/>
      <c r="B348" s="167" t="s">
        <v>899</v>
      </c>
      <c r="C348" s="168" t="s">
        <v>899</v>
      </c>
      <c r="D348" s="168" t="s">
        <v>899</v>
      </c>
      <c r="E348" s="168" t="s">
        <v>899</v>
      </c>
      <c r="F348" s="168" t="s">
        <v>899</v>
      </c>
      <c r="G348" s="168"/>
      <c r="H348" s="168"/>
      <c r="I348" s="168" t="s">
        <v>899</v>
      </c>
      <c r="J348" s="168" t="s">
        <v>899</v>
      </c>
      <c r="K348" s="166"/>
    </row>
    <row r="349" spans="1:11" x14ac:dyDescent="0.2">
      <c r="A349" s="166"/>
      <c r="B349" s="167" t="s">
        <v>899</v>
      </c>
      <c r="C349" s="168" t="s">
        <v>899</v>
      </c>
      <c r="D349" s="167" t="s">
        <v>899</v>
      </c>
      <c r="E349" s="167" t="s">
        <v>899</v>
      </c>
      <c r="F349" s="167" t="s">
        <v>899</v>
      </c>
      <c r="G349" s="167" t="s">
        <v>899</v>
      </c>
      <c r="H349" s="167" t="s">
        <v>899</v>
      </c>
      <c r="I349" s="167" t="s">
        <v>899</v>
      </c>
      <c r="J349" s="167" t="s">
        <v>899</v>
      </c>
      <c r="K349" s="166"/>
    </row>
    <row r="350" spans="1:11" x14ac:dyDescent="0.2">
      <c r="A350" s="166"/>
      <c r="B350" s="167" t="s">
        <v>899</v>
      </c>
      <c r="C350" s="168" t="s">
        <v>899</v>
      </c>
      <c r="D350" s="168" t="s">
        <v>899</v>
      </c>
      <c r="E350" s="168" t="s">
        <v>899</v>
      </c>
      <c r="F350" s="168" t="s">
        <v>899</v>
      </c>
      <c r="G350" s="168"/>
      <c r="H350" s="168"/>
      <c r="I350" s="168" t="s">
        <v>899</v>
      </c>
      <c r="J350" s="168" t="s">
        <v>899</v>
      </c>
      <c r="K350" s="166"/>
    </row>
    <row r="351" spans="1:11" x14ac:dyDescent="0.2">
      <c r="A351" s="166"/>
      <c r="B351" s="167" t="s">
        <v>899</v>
      </c>
      <c r="C351" s="168" t="s">
        <v>899</v>
      </c>
      <c r="D351" s="167" t="s">
        <v>899</v>
      </c>
      <c r="E351" s="167" t="s">
        <v>899</v>
      </c>
      <c r="F351" s="167" t="s">
        <v>899</v>
      </c>
      <c r="G351" s="167" t="s">
        <v>899</v>
      </c>
      <c r="H351" s="167" t="s">
        <v>899</v>
      </c>
      <c r="I351" s="167" t="s">
        <v>899</v>
      </c>
      <c r="J351" s="167" t="s">
        <v>899</v>
      </c>
      <c r="K351" s="166"/>
    </row>
    <row r="352" spans="1:11" x14ac:dyDescent="0.2">
      <c r="A352" s="166"/>
      <c r="B352" s="167" t="s">
        <v>899</v>
      </c>
      <c r="C352" s="168" t="s">
        <v>899</v>
      </c>
      <c r="D352" s="168" t="s">
        <v>899</v>
      </c>
      <c r="E352" s="168" t="s">
        <v>899</v>
      </c>
      <c r="F352" s="168" t="s">
        <v>899</v>
      </c>
      <c r="G352" s="168"/>
      <c r="H352" s="168"/>
      <c r="I352" s="168" t="s">
        <v>899</v>
      </c>
      <c r="J352" s="168" t="s">
        <v>899</v>
      </c>
      <c r="K352" s="166"/>
    </row>
    <row r="353" spans="1:11" x14ac:dyDescent="0.2">
      <c r="A353" s="166"/>
      <c r="B353" s="167" t="s">
        <v>899</v>
      </c>
      <c r="C353" s="168" t="s">
        <v>899</v>
      </c>
      <c r="D353" s="167" t="s">
        <v>899</v>
      </c>
      <c r="E353" s="167" t="s">
        <v>899</v>
      </c>
      <c r="F353" s="167" t="s">
        <v>899</v>
      </c>
      <c r="G353" s="167" t="s">
        <v>899</v>
      </c>
      <c r="H353" s="167" t="s">
        <v>899</v>
      </c>
      <c r="I353" s="167" t="s">
        <v>899</v>
      </c>
      <c r="J353" s="167" t="s">
        <v>899</v>
      </c>
      <c r="K353" s="166"/>
    </row>
    <row r="354" spans="1:11" x14ac:dyDescent="0.2">
      <c r="A354" s="166"/>
      <c r="B354" s="167" t="s">
        <v>899</v>
      </c>
      <c r="C354" s="168" t="s">
        <v>899</v>
      </c>
      <c r="D354" s="168" t="s">
        <v>899</v>
      </c>
      <c r="E354" s="168" t="s">
        <v>899</v>
      </c>
      <c r="F354" s="168" t="s">
        <v>899</v>
      </c>
      <c r="G354" s="168"/>
      <c r="H354" s="168"/>
      <c r="I354" s="168" t="s">
        <v>899</v>
      </c>
      <c r="J354" s="168" t="s">
        <v>899</v>
      </c>
      <c r="K354" s="166"/>
    </row>
    <row r="355" spans="1:11" x14ac:dyDescent="0.2">
      <c r="A355" s="166"/>
      <c r="B355" s="167" t="s">
        <v>899</v>
      </c>
      <c r="C355" s="168" t="s">
        <v>899</v>
      </c>
      <c r="D355" s="167" t="s">
        <v>899</v>
      </c>
      <c r="E355" s="167" t="s">
        <v>899</v>
      </c>
      <c r="F355" s="167" t="s">
        <v>899</v>
      </c>
      <c r="G355" s="167" t="s">
        <v>899</v>
      </c>
      <c r="H355" s="167" t="s">
        <v>899</v>
      </c>
      <c r="I355" s="167" t="s">
        <v>899</v>
      </c>
      <c r="J355" s="167" t="s">
        <v>899</v>
      </c>
      <c r="K355" s="166"/>
    </row>
    <row r="356" spans="1:11" x14ac:dyDescent="0.2">
      <c r="A356" s="166"/>
      <c r="B356" s="167" t="s">
        <v>899</v>
      </c>
      <c r="C356" s="168" t="s">
        <v>899</v>
      </c>
      <c r="D356" s="168" t="s">
        <v>899</v>
      </c>
      <c r="E356" s="168" t="s">
        <v>899</v>
      </c>
      <c r="F356" s="168" t="s">
        <v>899</v>
      </c>
      <c r="G356" s="168"/>
      <c r="H356" s="168"/>
      <c r="I356" s="168" t="s">
        <v>899</v>
      </c>
      <c r="J356" s="168" t="s">
        <v>899</v>
      </c>
      <c r="K356" s="166"/>
    </row>
    <row r="357" spans="1:11" x14ac:dyDescent="0.2">
      <c r="A357" s="166"/>
      <c r="B357" s="167" t="s">
        <v>899</v>
      </c>
      <c r="C357" s="168" t="s">
        <v>899</v>
      </c>
      <c r="D357" s="167" t="s">
        <v>899</v>
      </c>
      <c r="E357" s="167" t="s">
        <v>899</v>
      </c>
      <c r="F357" s="167" t="s">
        <v>899</v>
      </c>
      <c r="G357" s="167" t="s">
        <v>899</v>
      </c>
      <c r="H357" s="167" t="s">
        <v>899</v>
      </c>
      <c r="I357" s="167" t="s">
        <v>899</v>
      </c>
      <c r="J357" s="167" t="s">
        <v>899</v>
      </c>
      <c r="K357" s="166"/>
    </row>
    <row r="358" spans="1:11" x14ac:dyDescent="0.2">
      <c r="A358" s="166"/>
      <c r="B358" s="167" t="s">
        <v>899</v>
      </c>
      <c r="C358" s="168" t="s">
        <v>899</v>
      </c>
      <c r="D358" s="168" t="s">
        <v>899</v>
      </c>
      <c r="E358" s="168" t="s">
        <v>899</v>
      </c>
      <c r="F358" s="168" t="s">
        <v>899</v>
      </c>
      <c r="G358" s="168"/>
      <c r="H358" s="168"/>
      <c r="I358" s="168" t="s">
        <v>899</v>
      </c>
      <c r="J358" s="168" t="s">
        <v>899</v>
      </c>
      <c r="K358" s="166"/>
    </row>
    <row r="359" spans="1:11" x14ac:dyDescent="0.2">
      <c r="A359" s="166"/>
      <c r="B359" s="167" t="s">
        <v>899</v>
      </c>
      <c r="C359" s="168" t="s">
        <v>899</v>
      </c>
      <c r="D359" s="167" t="s">
        <v>899</v>
      </c>
      <c r="E359" s="167" t="s">
        <v>899</v>
      </c>
      <c r="F359" s="167" t="s">
        <v>899</v>
      </c>
      <c r="G359" s="167" t="s">
        <v>899</v>
      </c>
      <c r="H359" s="167" t="s">
        <v>899</v>
      </c>
      <c r="I359" s="167" t="s">
        <v>899</v>
      </c>
      <c r="J359" s="167" t="s">
        <v>899</v>
      </c>
      <c r="K359" s="166"/>
    </row>
    <row r="360" spans="1:11" x14ac:dyDescent="0.2">
      <c r="A360" s="166"/>
      <c r="B360" s="167" t="s">
        <v>899</v>
      </c>
      <c r="C360" s="168" t="s">
        <v>899</v>
      </c>
      <c r="D360" s="168" t="s">
        <v>899</v>
      </c>
      <c r="E360" s="168" t="s">
        <v>899</v>
      </c>
      <c r="F360" s="168" t="s">
        <v>899</v>
      </c>
      <c r="G360" s="168"/>
      <c r="H360" s="168"/>
      <c r="I360" s="168" t="s">
        <v>899</v>
      </c>
      <c r="J360" s="168" t="s">
        <v>899</v>
      </c>
      <c r="K360" s="166"/>
    </row>
    <row r="361" spans="1:11" x14ac:dyDescent="0.2">
      <c r="A361" s="166"/>
      <c r="B361" s="167" t="s">
        <v>899</v>
      </c>
      <c r="C361" s="168" t="s">
        <v>899</v>
      </c>
      <c r="D361" s="167" t="s">
        <v>899</v>
      </c>
      <c r="E361" s="167" t="s">
        <v>899</v>
      </c>
      <c r="F361" s="167" t="s">
        <v>899</v>
      </c>
      <c r="G361" s="167" t="s">
        <v>899</v>
      </c>
      <c r="H361" s="167" t="s">
        <v>899</v>
      </c>
      <c r="I361" s="167" t="s">
        <v>899</v>
      </c>
      <c r="J361" s="167" t="s">
        <v>899</v>
      </c>
      <c r="K361" s="166"/>
    </row>
    <row r="362" spans="1:11" x14ac:dyDescent="0.2">
      <c r="A362" s="166"/>
      <c r="B362" s="167" t="s">
        <v>899</v>
      </c>
      <c r="C362" s="168" t="s">
        <v>899</v>
      </c>
      <c r="D362" s="168" t="s">
        <v>899</v>
      </c>
      <c r="E362" s="168" t="s">
        <v>899</v>
      </c>
      <c r="F362" s="168" t="s">
        <v>899</v>
      </c>
      <c r="G362" s="168"/>
      <c r="H362" s="168"/>
      <c r="I362" s="168" t="s">
        <v>899</v>
      </c>
      <c r="J362" s="168" t="s">
        <v>899</v>
      </c>
      <c r="K362" s="166"/>
    </row>
    <row r="363" spans="1:11" x14ac:dyDescent="0.2">
      <c r="A363" s="166"/>
      <c r="B363" s="167" t="s">
        <v>899</v>
      </c>
      <c r="C363" s="168" t="s">
        <v>899</v>
      </c>
      <c r="D363" s="167" t="s">
        <v>899</v>
      </c>
      <c r="E363" s="167" t="s">
        <v>899</v>
      </c>
      <c r="F363" s="167" t="s">
        <v>899</v>
      </c>
      <c r="G363" s="167" t="s">
        <v>899</v>
      </c>
      <c r="H363" s="167" t="s">
        <v>899</v>
      </c>
      <c r="I363" s="167" t="s">
        <v>899</v>
      </c>
      <c r="J363" s="167" t="s">
        <v>899</v>
      </c>
      <c r="K363" s="166"/>
    </row>
    <row r="364" spans="1:11" x14ac:dyDescent="0.2">
      <c r="A364" s="166"/>
      <c r="B364" s="167" t="s">
        <v>899</v>
      </c>
      <c r="C364" s="168" t="s">
        <v>899</v>
      </c>
      <c r="D364" s="168" t="s">
        <v>899</v>
      </c>
      <c r="E364" s="168" t="s">
        <v>899</v>
      </c>
      <c r="F364" s="168" t="s">
        <v>899</v>
      </c>
      <c r="G364" s="168"/>
      <c r="H364" s="168"/>
      <c r="I364" s="168" t="s">
        <v>899</v>
      </c>
      <c r="J364" s="168" t="s">
        <v>899</v>
      </c>
      <c r="K364" s="166"/>
    </row>
    <row r="365" spans="1:11" x14ac:dyDescent="0.2">
      <c r="A365" s="166"/>
      <c r="B365" s="167" t="s">
        <v>899</v>
      </c>
      <c r="C365" s="168" t="s">
        <v>899</v>
      </c>
      <c r="D365" s="167" t="s">
        <v>899</v>
      </c>
      <c r="E365" s="167" t="s">
        <v>899</v>
      </c>
      <c r="F365" s="167" t="s">
        <v>899</v>
      </c>
      <c r="G365" s="167" t="s">
        <v>899</v>
      </c>
      <c r="H365" s="167" t="s">
        <v>899</v>
      </c>
      <c r="I365" s="167" t="s">
        <v>899</v>
      </c>
      <c r="J365" s="167" t="s">
        <v>899</v>
      </c>
      <c r="K365" s="166"/>
    </row>
    <row r="366" spans="1:11" x14ac:dyDescent="0.2">
      <c r="A366" s="166"/>
      <c r="B366" s="167" t="s">
        <v>899</v>
      </c>
      <c r="C366" s="168" t="s">
        <v>899</v>
      </c>
      <c r="D366" s="168" t="s">
        <v>899</v>
      </c>
      <c r="E366" s="168" t="s">
        <v>899</v>
      </c>
      <c r="F366" s="168" t="s">
        <v>899</v>
      </c>
      <c r="G366" s="168"/>
      <c r="H366" s="168"/>
      <c r="I366" s="168" t="s">
        <v>899</v>
      </c>
      <c r="J366" s="168" t="s">
        <v>899</v>
      </c>
      <c r="K366" s="166"/>
    </row>
    <row r="367" spans="1:11" x14ac:dyDescent="0.2">
      <c r="A367" s="166"/>
      <c r="B367" s="167" t="s">
        <v>899</v>
      </c>
      <c r="C367" s="168" t="s">
        <v>899</v>
      </c>
      <c r="D367" s="167" t="s">
        <v>899</v>
      </c>
      <c r="E367" s="167" t="s">
        <v>899</v>
      </c>
      <c r="F367" s="167" t="s">
        <v>899</v>
      </c>
      <c r="G367" s="167" t="s">
        <v>899</v>
      </c>
      <c r="H367" s="167" t="s">
        <v>899</v>
      </c>
      <c r="I367" s="167" t="s">
        <v>899</v>
      </c>
      <c r="J367" s="167" t="s">
        <v>899</v>
      </c>
      <c r="K367" s="166"/>
    </row>
    <row r="368" spans="1:11" x14ac:dyDescent="0.2">
      <c r="A368" s="166"/>
      <c r="B368" s="167" t="s">
        <v>899</v>
      </c>
      <c r="C368" s="168" t="s">
        <v>899</v>
      </c>
      <c r="D368" s="168" t="s">
        <v>899</v>
      </c>
      <c r="E368" s="168" t="s">
        <v>899</v>
      </c>
      <c r="F368" s="168" t="s">
        <v>899</v>
      </c>
      <c r="G368" s="168"/>
      <c r="H368" s="168"/>
      <c r="I368" s="168" t="s">
        <v>899</v>
      </c>
      <c r="J368" s="168" t="s">
        <v>899</v>
      </c>
      <c r="K368" s="166"/>
    </row>
    <row r="369" spans="1:11" x14ac:dyDescent="0.2">
      <c r="A369" s="166"/>
      <c r="B369" s="167" t="s">
        <v>899</v>
      </c>
      <c r="C369" s="168" t="s">
        <v>899</v>
      </c>
      <c r="D369" s="167" t="s">
        <v>899</v>
      </c>
      <c r="E369" s="167" t="s">
        <v>899</v>
      </c>
      <c r="F369" s="167" t="s">
        <v>899</v>
      </c>
      <c r="G369" s="167" t="s">
        <v>899</v>
      </c>
      <c r="H369" s="167" t="s">
        <v>899</v>
      </c>
      <c r="I369" s="167" t="s">
        <v>899</v>
      </c>
      <c r="J369" s="167" t="s">
        <v>899</v>
      </c>
      <c r="K369" s="166"/>
    </row>
    <row r="370" spans="1:11" x14ac:dyDescent="0.2">
      <c r="A370" s="166"/>
      <c r="B370" s="167" t="s">
        <v>899</v>
      </c>
      <c r="C370" s="168" t="s">
        <v>899</v>
      </c>
      <c r="D370" s="168" t="s">
        <v>899</v>
      </c>
      <c r="E370" s="168" t="s">
        <v>899</v>
      </c>
      <c r="F370" s="168" t="s">
        <v>899</v>
      </c>
      <c r="G370" s="168"/>
      <c r="H370" s="168"/>
      <c r="I370" s="168" t="s">
        <v>899</v>
      </c>
      <c r="J370" s="168" t="s">
        <v>899</v>
      </c>
      <c r="K370" s="166"/>
    </row>
    <row r="371" spans="1:11" x14ac:dyDescent="0.2">
      <c r="A371" s="166"/>
      <c r="B371" s="167" t="s">
        <v>899</v>
      </c>
      <c r="C371" s="168" t="s">
        <v>899</v>
      </c>
      <c r="D371" s="167" t="s">
        <v>899</v>
      </c>
      <c r="E371" s="167" t="s">
        <v>899</v>
      </c>
      <c r="F371" s="167" t="s">
        <v>899</v>
      </c>
      <c r="G371" s="167" t="s">
        <v>899</v>
      </c>
      <c r="H371" s="167" t="s">
        <v>899</v>
      </c>
      <c r="I371" s="167" t="s">
        <v>899</v>
      </c>
      <c r="J371" s="167" t="s">
        <v>899</v>
      </c>
      <c r="K371" s="166"/>
    </row>
    <row r="372" spans="1:11" x14ac:dyDescent="0.2">
      <c r="A372" s="166"/>
      <c r="B372" s="167" t="s">
        <v>899</v>
      </c>
      <c r="C372" s="168" t="s">
        <v>899</v>
      </c>
      <c r="D372" s="168" t="s">
        <v>899</v>
      </c>
      <c r="E372" s="168" t="s">
        <v>899</v>
      </c>
      <c r="F372" s="168" t="s">
        <v>899</v>
      </c>
      <c r="G372" s="168"/>
      <c r="H372" s="168"/>
      <c r="I372" s="168" t="s">
        <v>899</v>
      </c>
      <c r="J372" s="168" t="s">
        <v>899</v>
      </c>
      <c r="K372" s="166"/>
    </row>
    <row r="373" spans="1:11" x14ac:dyDescent="0.2">
      <c r="A373" s="166"/>
      <c r="B373" s="167" t="s">
        <v>899</v>
      </c>
      <c r="C373" s="168" t="s">
        <v>899</v>
      </c>
      <c r="D373" s="167" t="s">
        <v>899</v>
      </c>
      <c r="E373" s="167" t="s">
        <v>899</v>
      </c>
      <c r="F373" s="167" t="s">
        <v>899</v>
      </c>
      <c r="G373" s="167" t="s">
        <v>899</v>
      </c>
      <c r="H373" s="167" t="s">
        <v>899</v>
      </c>
      <c r="I373" s="167" t="s">
        <v>899</v>
      </c>
      <c r="J373" s="167" t="s">
        <v>899</v>
      </c>
      <c r="K373" s="166"/>
    </row>
    <row r="374" spans="1:11" x14ac:dyDescent="0.2">
      <c r="A374" s="166"/>
      <c r="B374" s="167" t="s">
        <v>899</v>
      </c>
      <c r="C374" s="168" t="s">
        <v>899</v>
      </c>
      <c r="D374" s="168" t="s">
        <v>899</v>
      </c>
      <c r="E374" s="168" t="s">
        <v>899</v>
      </c>
      <c r="F374" s="168" t="s">
        <v>899</v>
      </c>
      <c r="G374" s="168"/>
      <c r="H374" s="168"/>
      <c r="I374" s="168" t="s">
        <v>899</v>
      </c>
      <c r="J374" s="168" t="s">
        <v>899</v>
      </c>
      <c r="K374" s="166"/>
    </row>
    <row r="375" spans="1:11" x14ac:dyDescent="0.2">
      <c r="A375" s="166"/>
      <c r="B375" s="167" t="s">
        <v>899</v>
      </c>
      <c r="C375" s="168" t="s">
        <v>899</v>
      </c>
      <c r="D375" s="167" t="s">
        <v>899</v>
      </c>
      <c r="E375" s="167" t="s">
        <v>899</v>
      </c>
      <c r="F375" s="167" t="s">
        <v>899</v>
      </c>
      <c r="G375" s="167" t="s">
        <v>899</v>
      </c>
      <c r="H375" s="167" t="s">
        <v>899</v>
      </c>
      <c r="I375" s="167" t="s">
        <v>899</v>
      </c>
      <c r="J375" s="167" t="s">
        <v>899</v>
      </c>
      <c r="K375" s="166"/>
    </row>
    <row r="376" spans="1:11" x14ac:dyDescent="0.2">
      <c r="A376" s="166"/>
      <c r="B376" s="167" t="s">
        <v>899</v>
      </c>
      <c r="C376" s="168" t="s">
        <v>899</v>
      </c>
      <c r="D376" s="168" t="s">
        <v>899</v>
      </c>
      <c r="E376" s="168" t="s">
        <v>899</v>
      </c>
      <c r="F376" s="168" t="s">
        <v>899</v>
      </c>
      <c r="G376" s="168"/>
      <c r="H376" s="168"/>
      <c r="I376" s="168" t="s">
        <v>899</v>
      </c>
      <c r="J376" s="168" t="s">
        <v>899</v>
      </c>
      <c r="K376" s="166"/>
    </row>
    <row r="377" spans="1:11" x14ac:dyDescent="0.2">
      <c r="A377" s="166"/>
      <c r="B377" s="167" t="s">
        <v>899</v>
      </c>
      <c r="C377" s="168" t="s">
        <v>899</v>
      </c>
      <c r="D377" s="167" t="s">
        <v>899</v>
      </c>
      <c r="E377" s="167" t="s">
        <v>899</v>
      </c>
      <c r="F377" s="167" t="s">
        <v>899</v>
      </c>
      <c r="G377" s="167" t="s">
        <v>899</v>
      </c>
      <c r="H377" s="167" t="s">
        <v>899</v>
      </c>
      <c r="I377" s="167" t="s">
        <v>899</v>
      </c>
      <c r="J377" s="167" t="s">
        <v>899</v>
      </c>
      <c r="K377" s="166"/>
    </row>
    <row r="378" spans="1:11" x14ac:dyDescent="0.2">
      <c r="A378" s="166"/>
      <c r="B378" s="167" t="s">
        <v>899</v>
      </c>
      <c r="C378" s="168" t="s">
        <v>899</v>
      </c>
      <c r="D378" s="168" t="s">
        <v>899</v>
      </c>
      <c r="E378" s="168" t="s">
        <v>899</v>
      </c>
      <c r="F378" s="168" t="s">
        <v>899</v>
      </c>
      <c r="G378" s="168"/>
      <c r="H378" s="168"/>
      <c r="I378" s="168" t="s">
        <v>899</v>
      </c>
      <c r="J378" s="168" t="s">
        <v>899</v>
      </c>
      <c r="K378" s="166"/>
    </row>
    <row r="379" spans="1:11" x14ac:dyDescent="0.2">
      <c r="A379" s="166"/>
      <c r="B379" s="167" t="s">
        <v>899</v>
      </c>
      <c r="C379" s="168" t="s">
        <v>899</v>
      </c>
      <c r="D379" s="167" t="s">
        <v>899</v>
      </c>
      <c r="E379" s="167" t="s">
        <v>899</v>
      </c>
      <c r="F379" s="167" t="s">
        <v>899</v>
      </c>
      <c r="G379" s="167" t="s">
        <v>899</v>
      </c>
      <c r="H379" s="167" t="s">
        <v>899</v>
      </c>
      <c r="I379" s="167" t="s">
        <v>899</v>
      </c>
      <c r="J379" s="167" t="s">
        <v>899</v>
      </c>
      <c r="K379" s="166"/>
    </row>
    <row r="380" spans="1:11" x14ac:dyDescent="0.2">
      <c r="A380" s="166"/>
      <c r="B380" s="167" t="s">
        <v>899</v>
      </c>
      <c r="C380" s="168" t="s">
        <v>899</v>
      </c>
      <c r="D380" s="168" t="s">
        <v>899</v>
      </c>
      <c r="E380" s="168" t="s">
        <v>899</v>
      </c>
      <c r="F380" s="168" t="s">
        <v>899</v>
      </c>
      <c r="G380" s="168"/>
      <c r="H380" s="168"/>
      <c r="I380" s="168" t="s">
        <v>899</v>
      </c>
      <c r="J380" s="168" t="s">
        <v>899</v>
      </c>
      <c r="K380" s="166"/>
    </row>
    <row r="381" spans="1:11" x14ac:dyDescent="0.2">
      <c r="A381" s="166"/>
      <c r="B381" s="167" t="s">
        <v>899</v>
      </c>
      <c r="C381" s="168" t="s">
        <v>899</v>
      </c>
      <c r="D381" s="167" t="s">
        <v>899</v>
      </c>
      <c r="E381" s="167" t="s">
        <v>899</v>
      </c>
      <c r="F381" s="167" t="s">
        <v>899</v>
      </c>
      <c r="G381" s="167" t="s">
        <v>899</v>
      </c>
      <c r="H381" s="167" t="s">
        <v>899</v>
      </c>
      <c r="I381" s="167" t="s">
        <v>899</v>
      </c>
      <c r="J381" s="167" t="s">
        <v>899</v>
      </c>
      <c r="K381" s="166"/>
    </row>
    <row r="382" spans="1:11" x14ac:dyDescent="0.2">
      <c r="A382" s="166"/>
      <c r="B382" s="167" t="s">
        <v>899</v>
      </c>
      <c r="C382" s="168" t="s">
        <v>899</v>
      </c>
      <c r="D382" s="168" t="s">
        <v>899</v>
      </c>
      <c r="E382" s="168" t="s">
        <v>899</v>
      </c>
      <c r="F382" s="168" t="s">
        <v>899</v>
      </c>
      <c r="G382" s="168"/>
      <c r="H382" s="168"/>
      <c r="I382" s="168" t="s">
        <v>899</v>
      </c>
      <c r="J382" s="168" t="s">
        <v>899</v>
      </c>
      <c r="K382" s="166"/>
    </row>
    <row r="383" spans="1:11" x14ac:dyDescent="0.2">
      <c r="A383" s="166"/>
      <c r="B383" s="167" t="s">
        <v>899</v>
      </c>
      <c r="C383" s="168" t="s">
        <v>899</v>
      </c>
      <c r="D383" s="167" t="s">
        <v>899</v>
      </c>
      <c r="E383" s="167" t="s">
        <v>899</v>
      </c>
      <c r="F383" s="167" t="s">
        <v>899</v>
      </c>
      <c r="G383" s="167" t="s">
        <v>899</v>
      </c>
      <c r="H383" s="167" t="s">
        <v>899</v>
      </c>
      <c r="I383" s="167" t="s">
        <v>899</v>
      </c>
      <c r="J383" s="167" t="s">
        <v>899</v>
      </c>
      <c r="K383" s="166"/>
    </row>
    <row r="384" spans="1:11" x14ac:dyDescent="0.2">
      <c r="A384" s="166"/>
      <c r="B384" s="167" t="s">
        <v>899</v>
      </c>
      <c r="C384" s="168" t="s">
        <v>899</v>
      </c>
      <c r="D384" s="168" t="s">
        <v>899</v>
      </c>
      <c r="E384" s="168" t="s">
        <v>899</v>
      </c>
      <c r="F384" s="168" t="s">
        <v>899</v>
      </c>
      <c r="G384" s="168"/>
      <c r="H384" s="168"/>
      <c r="I384" s="168" t="s">
        <v>899</v>
      </c>
      <c r="J384" s="168" t="s">
        <v>899</v>
      </c>
      <c r="K384" s="166"/>
    </row>
    <row r="385" spans="1:11" x14ac:dyDescent="0.2">
      <c r="A385" s="166"/>
      <c r="B385" s="167" t="s">
        <v>899</v>
      </c>
      <c r="C385" s="168" t="s">
        <v>899</v>
      </c>
      <c r="D385" s="167" t="s">
        <v>899</v>
      </c>
      <c r="E385" s="167" t="s">
        <v>899</v>
      </c>
      <c r="F385" s="167" t="s">
        <v>899</v>
      </c>
      <c r="G385" s="167" t="s">
        <v>899</v>
      </c>
      <c r="H385" s="167" t="s">
        <v>899</v>
      </c>
      <c r="I385" s="167" t="s">
        <v>899</v>
      </c>
      <c r="J385" s="167" t="s">
        <v>899</v>
      </c>
      <c r="K385" s="166"/>
    </row>
    <row r="386" spans="1:11" x14ac:dyDescent="0.2">
      <c r="A386" s="166"/>
      <c r="B386" s="167" t="s">
        <v>899</v>
      </c>
      <c r="C386" s="168" t="s">
        <v>899</v>
      </c>
      <c r="D386" s="168" t="s">
        <v>899</v>
      </c>
      <c r="E386" s="168" t="s">
        <v>899</v>
      </c>
      <c r="F386" s="168" t="s">
        <v>899</v>
      </c>
      <c r="G386" s="168"/>
      <c r="H386" s="168"/>
      <c r="I386" s="168" t="s">
        <v>899</v>
      </c>
      <c r="J386" s="168" t="s">
        <v>899</v>
      </c>
      <c r="K386" s="166"/>
    </row>
    <row r="387" spans="1:11" x14ac:dyDescent="0.2">
      <c r="A387" s="166"/>
      <c r="B387" s="167" t="s">
        <v>899</v>
      </c>
      <c r="C387" s="168" t="s">
        <v>899</v>
      </c>
      <c r="D387" s="167" t="s">
        <v>899</v>
      </c>
      <c r="E387" s="167" t="s">
        <v>899</v>
      </c>
      <c r="F387" s="167" t="s">
        <v>899</v>
      </c>
      <c r="G387" s="167" t="s">
        <v>899</v>
      </c>
      <c r="H387" s="167" t="s">
        <v>899</v>
      </c>
      <c r="I387" s="167" t="s">
        <v>899</v>
      </c>
      <c r="J387" s="167" t="s">
        <v>899</v>
      </c>
      <c r="K387" s="166"/>
    </row>
    <row r="388" spans="1:11" x14ac:dyDescent="0.2">
      <c r="A388" s="166"/>
      <c r="B388" s="167" t="s">
        <v>899</v>
      </c>
      <c r="C388" s="168" t="s">
        <v>899</v>
      </c>
      <c r="D388" s="168" t="s">
        <v>899</v>
      </c>
      <c r="E388" s="168" t="s">
        <v>899</v>
      </c>
      <c r="F388" s="168" t="s">
        <v>899</v>
      </c>
      <c r="G388" s="168"/>
      <c r="H388" s="168"/>
      <c r="I388" s="168" t="s">
        <v>899</v>
      </c>
      <c r="J388" s="168" t="s">
        <v>899</v>
      </c>
      <c r="K388" s="166"/>
    </row>
    <row r="389" spans="1:11" x14ac:dyDescent="0.2">
      <c r="A389" s="166"/>
      <c r="B389" s="167" t="s">
        <v>899</v>
      </c>
      <c r="C389" s="168" t="s">
        <v>899</v>
      </c>
      <c r="D389" s="167" t="s">
        <v>899</v>
      </c>
      <c r="E389" s="167" t="s">
        <v>899</v>
      </c>
      <c r="F389" s="167" t="s">
        <v>899</v>
      </c>
      <c r="G389" s="167" t="s">
        <v>899</v>
      </c>
      <c r="H389" s="167" t="s">
        <v>899</v>
      </c>
      <c r="I389" s="167" t="s">
        <v>899</v>
      </c>
      <c r="J389" s="167" t="s">
        <v>899</v>
      </c>
      <c r="K389" s="166"/>
    </row>
    <row r="390" spans="1:11" x14ac:dyDescent="0.2">
      <c r="A390" s="166"/>
      <c r="B390" s="167" t="s">
        <v>899</v>
      </c>
      <c r="C390" s="168" t="s">
        <v>899</v>
      </c>
      <c r="D390" s="168" t="s">
        <v>899</v>
      </c>
      <c r="E390" s="168" t="s">
        <v>899</v>
      </c>
      <c r="F390" s="168" t="s">
        <v>899</v>
      </c>
      <c r="G390" s="168"/>
      <c r="H390" s="168"/>
      <c r="I390" s="168" t="s">
        <v>899</v>
      </c>
      <c r="J390" s="168" t="s">
        <v>899</v>
      </c>
      <c r="K390" s="166"/>
    </row>
    <row r="391" spans="1:11" x14ac:dyDescent="0.2">
      <c r="A391" s="166"/>
      <c r="B391" s="167" t="s">
        <v>899</v>
      </c>
      <c r="C391" s="168" t="s">
        <v>899</v>
      </c>
      <c r="D391" s="167" t="s">
        <v>899</v>
      </c>
      <c r="E391" s="167" t="s">
        <v>899</v>
      </c>
      <c r="F391" s="167" t="s">
        <v>899</v>
      </c>
      <c r="G391" s="167" t="s">
        <v>899</v>
      </c>
      <c r="H391" s="167" t="s">
        <v>899</v>
      </c>
      <c r="I391" s="167" t="s">
        <v>899</v>
      </c>
      <c r="J391" s="167" t="s">
        <v>899</v>
      </c>
      <c r="K391" s="166"/>
    </row>
    <row r="392" spans="1:11" x14ac:dyDescent="0.2">
      <c r="A392" s="166"/>
      <c r="B392" s="167" t="s">
        <v>899</v>
      </c>
      <c r="C392" s="168" t="s">
        <v>899</v>
      </c>
      <c r="D392" s="168" t="s">
        <v>899</v>
      </c>
      <c r="E392" s="168" t="s">
        <v>899</v>
      </c>
      <c r="F392" s="168" t="s">
        <v>899</v>
      </c>
      <c r="G392" s="168"/>
      <c r="H392" s="168"/>
      <c r="I392" s="168" t="s">
        <v>899</v>
      </c>
      <c r="J392" s="168" t="s">
        <v>899</v>
      </c>
      <c r="K392" s="166"/>
    </row>
    <row r="393" spans="1:11" x14ac:dyDescent="0.2">
      <c r="A393" s="166"/>
      <c r="B393" s="167" t="s">
        <v>899</v>
      </c>
      <c r="C393" s="168" t="s">
        <v>899</v>
      </c>
      <c r="D393" s="167" t="s">
        <v>899</v>
      </c>
      <c r="E393" s="167" t="s">
        <v>899</v>
      </c>
      <c r="F393" s="167" t="s">
        <v>899</v>
      </c>
      <c r="G393" s="167" t="s">
        <v>899</v>
      </c>
      <c r="H393" s="167" t="s">
        <v>899</v>
      </c>
      <c r="I393" s="167" t="s">
        <v>899</v>
      </c>
      <c r="J393" s="167" t="s">
        <v>899</v>
      </c>
      <c r="K393" s="166"/>
    </row>
    <row r="394" spans="1:11" x14ac:dyDescent="0.2">
      <c r="A394" s="166"/>
      <c r="B394" s="167" t="s">
        <v>899</v>
      </c>
      <c r="C394" s="168" t="s">
        <v>899</v>
      </c>
      <c r="D394" s="168" t="s">
        <v>899</v>
      </c>
      <c r="E394" s="168" t="s">
        <v>899</v>
      </c>
      <c r="F394" s="168" t="s">
        <v>899</v>
      </c>
      <c r="G394" s="168"/>
      <c r="H394" s="168"/>
      <c r="I394" s="168" t="s">
        <v>899</v>
      </c>
      <c r="J394" s="168" t="s">
        <v>899</v>
      </c>
      <c r="K394" s="166"/>
    </row>
    <row r="395" spans="1:11" x14ac:dyDescent="0.2">
      <c r="A395" s="166"/>
      <c r="B395" s="167" t="s">
        <v>899</v>
      </c>
      <c r="C395" s="168" t="s">
        <v>899</v>
      </c>
      <c r="D395" s="167" t="s">
        <v>899</v>
      </c>
      <c r="E395" s="167" t="s">
        <v>899</v>
      </c>
      <c r="F395" s="167" t="s">
        <v>899</v>
      </c>
      <c r="G395" s="167" t="s">
        <v>899</v>
      </c>
      <c r="H395" s="167" t="s">
        <v>899</v>
      </c>
      <c r="I395" s="167" t="s">
        <v>899</v>
      </c>
      <c r="J395" s="167" t="s">
        <v>899</v>
      </c>
      <c r="K395" s="166"/>
    </row>
    <row r="396" spans="1:11" x14ac:dyDescent="0.2">
      <c r="A396" s="166"/>
      <c r="B396" s="167" t="s">
        <v>899</v>
      </c>
      <c r="C396" s="168" t="s">
        <v>899</v>
      </c>
      <c r="D396" s="168" t="s">
        <v>899</v>
      </c>
      <c r="E396" s="168" t="s">
        <v>899</v>
      </c>
      <c r="F396" s="168" t="s">
        <v>899</v>
      </c>
      <c r="G396" s="168"/>
      <c r="H396" s="168"/>
      <c r="I396" s="168" t="s">
        <v>899</v>
      </c>
      <c r="J396" s="168" t="s">
        <v>899</v>
      </c>
      <c r="K396" s="166"/>
    </row>
    <row r="397" spans="1:11" x14ac:dyDescent="0.2">
      <c r="A397" s="166"/>
      <c r="B397" s="167" t="s">
        <v>899</v>
      </c>
      <c r="C397" s="168" t="s">
        <v>899</v>
      </c>
      <c r="D397" s="167" t="s">
        <v>899</v>
      </c>
      <c r="E397" s="167" t="s">
        <v>899</v>
      </c>
      <c r="F397" s="167" t="s">
        <v>899</v>
      </c>
      <c r="G397" s="167" t="s">
        <v>899</v>
      </c>
      <c r="H397" s="167" t="s">
        <v>899</v>
      </c>
      <c r="I397" s="167" t="s">
        <v>899</v>
      </c>
      <c r="J397" s="167" t="s">
        <v>899</v>
      </c>
      <c r="K397" s="166"/>
    </row>
    <row r="398" spans="1:11" x14ac:dyDescent="0.2">
      <c r="A398" s="166"/>
      <c r="B398" s="167" t="s">
        <v>899</v>
      </c>
      <c r="C398" s="168" t="s">
        <v>899</v>
      </c>
      <c r="D398" s="168" t="s">
        <v>899</v>
      </c>
      <c r="E398" s="168" t="s">
        <v>899</v>
      </c>
      <c r="F398" s="168" t="s">
        <v>899</v>
      </c>
      <c r="G398" s="168"/>
      <c r="H398" s="168"/>
      <c r="I398" s="168" t="s">
        <v>899</v>
      </c>
      <c r="J398" s="168" t="s">
        <v>899</v>
      </c>
      <c r="K398" s="166"/>
    </row>
    <row r="399" spans="1:11" x14ac:dyDescent="0.2">
      <c r="A399" s="166"/>
      <c r="B399" s="167" t="s">
        <v>899</v>
      </c>
      <c r="C399" s="168" t="s">
        <v>899</v>
      </c>
      <c r="D399" s="167" t="s">
        <v>899</v>
      </c>
      <c r="E399" s="167" t="s">
        <v>899</v>
      </c>
      <c r="F399" s="167" t="s">
        <v>899</v>
      </c>
      <c r="G399" s="167" t="s">
        <v>899</v>
      </c>
      <c r="H399" s="167" t="s">
        <v>899</v>
      </c>
      <c r="I399" s="167" t="s">
        <v>899</v>
      </c>
      <c r="J399" s="167" t="s">
        <v>899</v>
      </c>
      <c r="K399" s="166"/>
    </row>
    <row r="400" spans="1:11" x14ac:dyDescent="0.2">
      <c r="A400" s="166"/>
      <c r="B400" s="167" t="s">
        <v>899</v>
      </c>
      <c r="C400" s="168" t="s">
        <v>899</v>
      </c>
      <c r="D400" s="168" t="s">
        <v>899</v>
      </c>
      <c r="E400" s="168" t="s">
        <v>899</v>
      </c>
      <c r="F400" s="168" t="s">
        <v>899</v>
      </c>
      <c r="G400" s="168"/>
      <c r="H400" s="168"/>
      <c r="I400" s="168" t="s">
        <v>899</v>
      </c>
      <c r="J400" s="168" t="s">
        <v>899</v>
      </c>
      <c r="K400" s="166"/>
    </row>
    <row r="401" spans="1:11" x14ac:dyDescent="0.2">
      <c r="A401" s="166"/>
      <c r="B401" s="167" t="s">
        <v>899</v>
      </c>
      <c r="C401" s="168" t="s">
        <v>899</v>
      </c>
      <c r="D401" s="167" t="s">
        <v>899</v>
      </c>
      <c r="E401" s="167" t="s">
        <v>899</v>
      </c>
      <c r="F401" s="167" t="s">
        <v>899</v>
      </c>
      <c r="G401" s="167" t="s">
        <v>899</v>
      </c>
      <c r="H401" s="167" t="s">
        <v>899</v>
      </c>
      <c r="I401" s="167" t="s">
        <v>899</v>
      </c>
      <c r="J401" s="167" t="s">
        <v>899</v>
      </c>
      <c r="K401" s="166"/>
    </row>
    <row r="402" spans="1:11" x14ac:dyDescent="0.2">
      <c r="A402" s="166"/>
      <c r="B402" s="167" t="s">
        <v>899</v>
      </c>
      <c r="C402" s="168" t="s">
        <v>899</v>
      </c>
      <c r="D402" s="168" t="s">
        <v>899</v>
      </c>
      <c r="E402" s="168" t="s">
        <v>899</v>
      </c>
      <c r="F402" s="168" t="s">
        <v>899</v>
      </c>
      <c r="G402" s="168"/>
      <c r="H402" s="168"/>
      <c r="I402" s="168" t="s">
        <v>899</v>
      </c>
      <c r="J402" s="168" t="s">
        <v>899</v>
      </c>
      <c r="K402" s="166"/>
    </row>
    <row r="403" spans="1:11" x14ac:dyDescent="0.2">
      <c r="A403" s="166"/>
      <c r="B403" s="167" t="s">
        <v>899</v>
      </c>
      <c r="C403" s="168" t="s">
        <v>899</v>
      </c>
      <c r="D403" s="167" t="s">
        <v>899</v>
      </c>
      <c r="E403" s="167" t="s">
        <v>899</v>
      </c>
      <c r="F403" s="167" t="s">
        <v>899</v>
      </c>
      <c r="G403" s="167" t="s">
        <v>899</v>
      </c>
      <c r="H403" s="167" t="s">
        <v>899</v>
      </c>
      <c r="I403" s="167" t="s">
        <v>899</v>
      </c>
      <c r="J403" s="167" t="s">
        <v>899</v>
      </c>
      <c r="K403" s="166"/>
    </row>
    <row r="404" spans="1:11" x14ac:dyDescent="0.2">
      <c r="A404" s="166"/>
      <c r="B404" s="167" t="s">
        <v>899</v>
      </c>
      <c r="C404" s="168" t="s">
        <v>899</v>
      </c>
      <c r="D404" s="168" t="s">
        <v>899</v>
      </c>
      <c r="E404" s="168" t="s">
        <v>899</v>
      </c>
      <c r="F404" s="168" t="s">
        <v>899</v>
      </c>
      <c r="G404" s="168"/>
      <c r="H404" s="168"/>
      <c r="I404" s="168" t="s">
        <v>899</v>
      </c>
      <c r="J404" s="168" t="s">
        <v>899</v>
      </c>
      <c r="K404" s="166"/>
    </row>
    <row r="405" spans="1:11" x14ac:dyDescent="0.2">
      <c r="A405" s="166"/>
      <c r="B405" s="167" t="s">
        <v>899</v>
      </c>
      <c r="C405" s="168" t="s">
        <v>899</v>
      </c>
      <c r="D405" s="167" t="s">
        <v>899</v>
      </c>
      <c r="E405" s="167" t="s">
        <v>899</v>
      </c>
      <c r="F405" s="167" t="s">
        <v>899</v>
      </c>
      <c r="G405" s="167" t="s">
        <v>899</v>
      </c>
      <c r="H405" s="167" t="s">
        <v>899</v>
      </c>
      <c r="I405" s="167" t="s">
        <v>899</v>
      </c>
      <c r="J405" s="167" t="s">
        <v>899</v>
      </c>
      <c r="K405" s="166"/>
    </row>
    <row r="406" spans="1:11" x14ac:dyDescent="0.2">
      <c r="A406" s="166"/>
      <c r="B406" s="167" t="s">
        <v>899</v>
      </c>
      <c r="C406" s="168" t="s">
        <v>899</v>
      </c>
      <c r="D406" s="168" t="s">
        <v>899</v>
      </c>
      <c r="E406" s="168" t="s">
        <v>899</v>
      </c>
      <c r="F406" s="168" t="s">
        <v>899</v>
      </c>
      <c r="G406" s="168"/>
      <c r="H406" s="168"/>
      <c r="I406" s="168" t="s">
        <v>899</v>
      </c>
      <c r="J406" s="168" t="s">
        <v>899</v>
      </c>
      <c r="K406" s="166"/>
    </row>
    <row r="407" spans="1:11" x14ac:dyDescent="0.2">
      <c r="A407" s="166"/>
      <c r="B407" s="167" t="s">
        <v>899</v>
      </c>
      <c r="C407" s="168" t="s">
        <v>899</v>
      </c>
      <c r="D407" s="167" t="s">
        <v>899</v>
      </c>
      <c r="E407" s="167" t="s">
        <v>899</v>
      </c>
      <c r="F407" s="167" t="s">
        <v>899</v>
      </c>
      <c r="G407" s="167" t="s">
        <v>899</v>
      </c>
      <c r="H407" s="167" t="s">
        <v>899</v>
      </c>
      <c r="I407" s="167" t="s">
        <v>899</v>
      </c>
      <c r="J407" s="167" t="s">
        <v>899</v>
      </c>
      <c r="K407" s="166"/>
    </row>
    <row r="408" spans="1:11" x14ac:dyDescent="0.2">
      <c r="A408" s="166"/>
      <c r="B408" s="167" t="s">
        <v>899</v>
      </c>
      <c r="C408" s="168" t="s">
        <v>899</v>
      </c>
      <c r="D408" s="168" t="s">
        <v>899</v>
      </c>
      <c r="E408" s="168" t="s">
        <v>899</v>
      </c>
      <c r="F408" s="168" t="s">
        <v>899</v>
      </c>
      <c r="G408" s="168"/>
      <c r="H408" s="168"/>
      <c r="I408" s="168" t="s">
        <v>899</v>
      </c>
      <c r="J408" s="168" t="s">
        <v>899</v>
      </c>
      <c r="K408" s="166"/>
    </row>
    <row r="409" spans="1:11" x14ac:dyDescent="0.2">
      <c r="A409" s="166"/>
      <c r="B409" s="167" t="s">
        <v>899</v>
      </c>
      <c r="C409" s="168" t="s">
        <v>899</v>
      </c>
      <c r="D409" s="167" t="s">
        <v>899</v>
      </c>
      <c r="E409" s="167" t="s">
        <v>899</v>
      </c>
      <c r="F409" s="167" t="s">
        <v>899</v>
      </c>
      <c r="G409" s="167" t="s">
        <v>899</v>
      </c>
      <c r="H409" s="167" t="s">
        <v>899</v>
      </c>
      <c r="I409" s="167" t="s">
        <v>899</v>
      </c>
      <c r="J409" s="167" t="s">
        <v>899</v>
      </c>
      <c r="K409" s="166"/>
    </row>
    <row r="410" spans="1:11" x14ac:dyDescent="0.2">
      <c r="A410" s="166"/>
      <c r="B410" s="167" t="s">
        <v>899</v>
      </c>
      <c r="C410" s="168" t="s">
        <v>899</v>
      </c>
      <c r="D410" s="168" t="s">
        <v>899</v>
      </c>
      <c r="E410" s="168" t="s">
        <v>899</v>
      </c>
      <c r="F410" s="168" t="s">
        <v>899</v>
      </c>
      <c r="G410" s="168"/>
      <c r="H410" s="168"/>
      <c r="I410" s="168" t="s">
        <v>899</v>
      </c>
      <c r="J410" s="168" t="s">
        <v>899</v>
      </c>
      <c r="K410" s="166"/>
    </row>
    <row r="411" spans="1:11" x14ac:dyDescent="0.2">
      <c r="A411" s="166"/>
      <c r="B411" s="167" t="s">
        <v>899</v>
      </c>
      <c r="C411" s="168" t="s">
        <v>899</v>
      </c>
      <c r="D411" s="167" t="s">
        <v>899</v>
      </c>
      <c r="E411" s="167" t="s">
        <v>899</v>
      </c>
      <c r="F411" s="167" t="s">
        <v>899</v>
      </c>
      <c r="G411" s="167" t="s">
        <v>899</v>
      </c>
      <c r="H411" s="167" t="s">
        <v>899</v>
      </c>
      <c r="I411" s="167" t="s">
        <v>899</v>
      </c>
      <c r="J411" s="167" t="s">
        <v>899</v>
      </c>
      <c r="K411" s="166"/>
    </row>
    <row r="412" spans="1:11" x14ac:dyDescent="0.2">
      <c r="A412" s="166"/>
      <c r="B412" s="167" t="s">
        <v>899</v>
      </c>
      <c r="C412" s="168" t="s">
        <v>899</v>
      </c>
      <c r="D412" s="168" t="s">
        <v>899</v>
      </c>
      <c r="E412" s="168" t="s">
        <v>899</v>
      </c>
      <c r="F412" s="168" t="s">
        <v>899</v>
      </c>
      <c r="G412" s="168"/>
      <c r="H412" s="168"/>
      <c r="I412" s="168" t="s">
        <v>899</v>
      </c>
      <c r="J412" s="168" t="s">
        <v>899</v>
      </c>
      <c r="K412" s="166"/>
    </row>
    <row r="413" spans="1:11" x14ac:dyDescent="0.2">
      <c r="A413" s="166"/>
      <c r="B413" s="167" t="s">
        <v>899</v>
      </c>
      <c r="C413" s="168" t="s">
        <v>899</v>
      </c>
      <c r="D413" s="167" t="s">
        <v>899</v>
      </c>
      <c r="E413" s="167" t="s">
        <v>899</v>
      </c>
      <c r="F413" s="167" t="s">
        <v>899</v>
      </c>
      <c r="G413" s="167" t="s">
        <v>899</v>
      </c>
      <c r="H413" s="167" t="s">
        <v>899</v>
      </c>
      <c r="I413" s="167" t="s">
        <v>899</v>
      </c>
      <c r="J413" s="167" t="s">
        <v>899</v>
      </c>
      <c r="K413" s="166"/>
    </row>
    <row r="414" spans="1:11" x14ac:dyDescent="0.2">
      <c r="A414" s="166"/>
      <c r="B414" s="167" t="s">
        <v>899</v>
      </c>
      <c r="C414" s="168" t="s">
        <v>899</v>
      </c>
      <c r="D414" s="168" t="s">
        <v>899</v>
      </c>
      <c r="E414" s="168" t="s">
        <v>899</v>
      </c>
      <c r="F414" s="168" t="s">
        <v>899</v>
      </c>
      <c r="G414" s="168"/>
      <c r="H414" s="168"/>
      <c r="I414" s="168" t="s">
        <v>899</v>
      </c>
      <c r="J414" s="168" t="s">
        <v>899</v>
      </c>
      <c r="K414" s="166"/>
    </row>
    <row r="415" spans="1:11" x14ac:dyDescent="0.2">
      <c r="A415" s="166"/>
      <c r="B415" s="167" t="s">
        <v>899</v>
      </c>
      <c r="C415" s="168" t="s">
        <v>899</v>
      </c>
      <c r="D415" s="167" t="s">
        <v>899</v>
      </c>
      <c r="E415" s="167" t="s">
        <v>899</v>
      </c>
      <c r="F415" s="167" t="s">
        <v>899</v>
      </c>
      <c r="G415" s="167" t="s">
        <v>899</v>
      </c>
      <c r="H415" s="167" t="s">
        <v>899</v>
      </c>
      <c r="I415" s="167" t="s">
        <v>899</v>
      </c>
      <c r="J415" s="167" t="s">
        <v>899</v>
      </c>
      <c r="K415" s="166"/>
    </row>
    <row r="416" spans="1:11" x14ac:dyDescent="0.2">
      <c r="A416" s="166"/>
      <c r="B416" s="167" t="s">
        <v>899</v>
      </c>
      <c r="C416" s="168" t="s">
        <v>899</v>
      </c>
      <c r="D416" s="168" t="s">
        <v>899</v>
      </c>
      <c r="E416" s="168" t="s">
        <v>899</v>
      </c>
      <c r="F416" s="168" t="s">
        <v>899</v>
      </c>
      <c r="G416" s="168"/>
      <c r="H416" s="168"/>
      <c r="I416" s="168" t="s">
        <v>899</v>
      </c>
      <c r="J416" s="168" t="s">
        <v>899</v>
      </c>
      <c r="K416" s="166"/>
    </row>
    <row r="417" spans="1:11" x14ac:dyDescent="0.2">
      <c r="A417" s="166"/>
      <c r="B417" s="167" t="s">
        <v>899</v>
      </c>
      <c r="C417" s="168" t="s">
        <v>899</v>
      </c>
      <c r="D417" s="167" t="s">
        <v>899</v>
      </c>
      <c r="E417" s="167" t="s">
        <v>899</v>
      </c>
      <c r="F417" s="167" t="s">
        <v>899</v>
      </c>
      <c r="G417" s="167" t="s">
        <v>899</v>
      </c>
      <c r="H417" s="167" t="s">
        <v>899</v>
      </c>
      <c r="I417" s="167" t="s">
        <v>899</v>
      </c>
      <c r="J417" s="167" t="s">
        <v>899</v>
      </c>
      <c r="K417" s="166"/>
    </row>
    <row r="418" spans="1:11" x14ac:dyDescent="0.2">
      <c r="A418" s="166"/>
      <c r="B418" s="167" t="s">
        <v>899</v>
      </c>
      <c r="C418" s="168" t="s">
        <v>899</v>
      </c>
      <c r="D418" s="168" t="s">
        <v>899</v>
      </c>
      <c r="E418" s="168" t="s">
        <v>899</v>
      </c>
      <c r="F418" s="168" t="s">
        <v>899</v>
      </c>
      <c r="G418" s="168"/>
      <c r="H418" s="168"/>
      <c r="I418" s="168" t="s">
        <v>899</v>
      </c>
      <c r="J418" s="168" t="s">
        <v>899</v>
      </c>
      <c r="K418" s="166"/>
    </row>
    <row r="419" spans="1:11" x14ac:dyDescent="0.2">
      <c r="A419" s="166"/>
      <c r="B419" s="167" t="s">
        <v>899</v>
      </c>
      <c r="C419" s="168" t="s">
        <v>899</v>
      </c>
      <c r="D419" s="167" t="s">
        <v>899</v>
      </c>
      <c r="E419" s="167" t="s">
        <v>899</v>
      </c>
      <c r="F419" s="167" t="s">
        <v>899</v>
      </c>
      <c r="G419" s="167" t="s">
        <v>899</v>
      </c>
      <c r="H419" s="167" t="s">
        <v>899</v>
      </c>
      <c r="I419" s="167" t="s">
        <v>899</v>
      </c>
      <c r="J419" s="167" t="s">
        <v>899</v>
      </c>
      <c r="K419" s="166"/>
    </row>
    <row r="420" spans="1:11" x14ac:dyDescent="0.2">
      <c r="A420" s="166"/>
      <c r="B420" s="167" t="s">
        <v>899</v>
      </c>
      <c r="C420" s="168" t="s">
        <v>899</v>
      </c>
      <c r="D420" s="168" t="s">
        <v>899</v>
      </c>
      <c r="E420" s="168" t="s">
        <v>899</v>
      </c>
      <c r="F420" s="168" t="s">
        <v>899</v>
      </c>
      <c r="G420" s="168"/>
      <c r="H420" s="168"/>
      <c r="I420" s="168" t="s">
        <v>899</v>
      </c>
      <c r="J420" s="168" t="s">
        <v>899</v>
      </c>
      <c r="K420" s="166"/>
    </row>
    <row r="421" spans="1:11" x14ac:dyDescent="0.2">
      <c r="A421" s="166"/>
      <c r="B421" s="167" t="s">
        <v>899</v>
      </c>
      <c r="C421" s="168" t="s">
        <v>899</v>
      </c>
      <c r="D421" s="167" t="s">
        <v>899</v>
      </c>
      <c r="E421" s="167" t="s">
        <v>899</v>
      </c>
      <c r="F421" s="167" t="s">
        <v>899</v>
      </c>
      <c r="G421" s="167" t="s">
        <v>899</v>
      </c>
      <c r="H421" s="167" t="s">
        <v>899</v>
      </c>
      <c r="I421" s="167" t="s">
        <v>899</v>
      </c>
      <c r="J421" s="167" t="s">
        <v>899</v>
      </c>
      <c r="K421" s="166"/>
    </row>
    <row r="422" spans="1:11" x14ac:dyDescent="0.2">
      <c r="A422" s="166"/>
      <c r="B422" s="167" t="s">
        <v>899</v>
      </c>
      <c r="C422" s="168" t="s">
        <v>899</v>
      </c>
      <c r="D422" s="168" t="s">
        <v>899</v>
      </c>
      <c r="E422" s="168" t="s">
        <v>899</v>
      </c>
      <c r="F422" s="168" t="s">
        <v>899</v>
      </c>
      <c r="G422" s="168"/>
      <c r="H422" s="168"/>
      <c r="I422" s="168" t="s">
        <v>899</v>
      </c>
      <c r="J422" s="168" t="s">
        <v>899</v>
      </c>
      <c r="K422" s="166"/>
    </row>
    <row r="423" spans="1:11" x14ac:dyDescent="0.2">
      <c r="A423" s="166"/>
      <c r="B423" s="167" t="s">
        <v>899</v>
      </c>
      <c r="C423" s="168" t="s">
        <v>899</v>
      </c>
      <c r="D423" s="167" t="s">
        <v>899</v>
      </c>
      <c r="E423" s="167" t="s">
        <v>899</v>
      </c>
      <c r="F423" s="167" t="s">
        <v>899</v>
      </c>
      <c r="G423" s="167" t="s">
        <v>899</v>
      </c>
      <c r="H423" s="167" t="s">
        <v>899</v>
      </c>
      <c r="I423" s="167" t="s">
        <v>899</v>
      </c>
      <c r="J423" s="167" t="s">
        <v>899</v>
      </c>
      <c r="K423" s="166"/>
    </row>
    <row r="424" spans="1:11" x14ac:dyDescent="0.2">
      <c r="A424" s="166"/>
      <c r="B424" s="167" t="s">
        <v>899</v>
      </c>
      <c r="C424" s="168" t="s">
        <v>899</v>
      </c>
      <c r="D424" s="168" t="s">
        <v>899</v>
      </c>
      <c r="E424" s="168" t="s">
        <v>899</v>
      </c>
      <c r="F424" s="168" t="s">
        <v>899</v>
      </c>
      <c r="G424" s="168"/>
      <c r="H424" s="168"/>
      <c r="I424" s="168" t="s">
        <v>899</v>
      </c>
      <c r="J424" s="168" t="s">
        <v>899</v>
      </c>
      <c r="K424" s="166"/>
    </row>
    <row r="425" spans="1:11" x14ac:dyDescent="0.2">
      <c r="A425" s="166"/>
      <c r="B425" s="167" t="s">
        <v>899</v>
      </c>
      <c r="C425" s="168" t="s">
        <v>899</v>
      </c>
      <c r="D425" s="167" t="s">
        <v>899</v>
      </c>
      <c r="E425" s="167" t="s">
        <v>899</v>
      </c>
      <c r="F425" s="167" t="s">
        <v>899</v>
      </c>
      <c r="G425" s="167" t="s">
        <v>899</v>
      </c>
      <c r="H425" s="167" t="s">
        <v>899</v>
      </c>
      <c r="I425" s="167" t="s">
        <v>899</v>
      </c>
      <c r="J425" s="167" t="s">
        <v>899</v>
      </c>
      <c r="K425" s="166"/>
    </row>
    <row r="426" spans="1:11" x14ac:dyDescent="0.2">
      <c r="A426" s="166"/>
      <c r="B426" s="167" t="s">
        <v>899</v>
      </c>
      <c r="C426" s="168" t="s">
        <v>899</v>
      </c>
      <c r="D426" s="168" t="s">
        <v>899</v>
      </c>
      <c r="E426" s="168" t="s">
        <v>899</v>
      </c>
      <c r="F426" s="168" t="s">
        <v>899</v>
      </c>
      <c r="G426" s="168"/>
      <c r="H426" s="168"/>
      <c r="I426" s="168" t="s">
        <v>899</v>
      </c>
      <c r="J426" s="168" t="s">
        <v>899</v>
      </c>
      <c r="K426" s="166"/>
    </row>
    <row r="427" spans="1:11" x14ac:dyDescent="0.2">
      <c r="A427" s="166"/>
      <c r="B427" s="167" t="s">
        <v>899</v>
      </c>
      <c r="C427" s="168" t="s">
        <v>899</v>
      </c>
      <c r="D427" s="167" t="s">
        <v>899</v>
      </c>
      <c r="E427" s="167" t="s">
        <v>899</v>
      </c>
      <c r="F427" s="167" t="s">
        <v>899</v>
      </c>
      <c r="G427" s="167" t="s">
        <v>899</v>
      </c>
      <c r="H427" s="167" t="s">
        <v>899</v>
      </c>
      <c r="I427" s="167" t="s">
        <v>899</v>
      </c>
      <c r="J427" s="167" t="s">
        <v>899</v>
      </c>
      <c r="K427" s="166"/>
    </row>
    <row r="428" spans="1:11" x14ac:dyDescent="0.2">
      <c r="A428" s="166"/>
      <c r="B428" s="167" t="s">
        <v>899</v>
      </c>
      <c r="C428" s="168" t="s">
        <v>899</v>
      </c>
      <c r="D428" s="168" t="s">
        <v>899</v>
      </c>
      <c r="E428" s="168" t="s">
        <v>899</v>
      </c>
      <c r="F428" s="168" t="s">
        <v>899</v>
      </c>
      <c r="G428" s="168"/>
      <c r="H428" s="168"/>
      <c r="I428" s="168" t="s">
        <v>899</v>
      </c>
      <c r="J428" s="168" t="s">
        <v>899</v>
      </c>
      <c r="K428" s="166"/>
    </row>
    <row r="429" spans="1:11" x14ac:dyDescent="0.2">
      <c r="A429" s="166"/>
      <c r="B429" s="167" t="s">
        <v>899</v>
      </c>
      <c r="C429" s="168" t="s">
        <v>899</v>
      </c>
      <c r="D429" s="167" t="s">
        <v>899</v>
      </c>
      <c r="E429" s="167" t="s">
        <v>899</v>
      </c>
      <c r="F429" s="167" t="s">
        <v>899</v>
      </c>
      <c r="G429" s="167" t="s">
        <v>899</v>
      </c>
      <c r="H429" s="167" t="s">
        <v>899</v>
      </c>
      <c r="I429" s="167" t="s">
        <v>899</v>
      </c>
      <c r="J429" s="167" t="s">
        <v>899</v>
      </c>
      <c r="K429" s="166"/>
    </row>
    <row r="430" spans="1:11" x14ac:dyDescent="0.2">
      <c r="A430" s="166"/>
      <c r="B430" s="167" t="s">
        <v>899</v>
      </c>
      <c r="C430" s="168" t="s">
        <v>899</v>
      </c>
      <c r="D430" s="168" t="s">
        <v>899</v>
      </c>
      <c r="E430" s="168" t="s">
        <v>899</v>
      </c>
      <c r="F430" s="168" t="s">
        <v>899</v>
      </c>
      <c r="G430" s="168"/>
      <c r="H430" s="168"/>
      <c r="I430" s="168" t="s">
        <v>899</v>
      </c>
      <c r="J430" s="168" t="s">
        <v>899</v>
      </c>
      <c r="K430" s="166"/>
    </row>
    <row r="431" spans="1:11" x14ac:dyDescent="0.2">
      <c r="A431" s="166"/>
      <c r="B431" s="167" t="s">
        <v>899</v>
      </c>
      <c r="C431" s="168" t="s">
        <v>899</v>
      </c>
      <c r="D431" s="167" t="s">
        <v>899</v>
      </c>
      <c r="E431" s="167" t="s">
        <v>899</v>
      </c>
      <c r="F431" s="167" t="s">
        <v>899</v>
      </c>
      <c r="G431" s="167" t="s">
        <v>899</v>
      </c>
      <c r="H431" s="167" t="s">
        <v>899</v>
      </c>
      <c r="I431" s="167" t="s">
        <v>899</v>
      </c>
      <c r="J431" s="167" t="s">
        <v>899</v>
      </c>
      <c r="K431" s="166"/>
    </row>
    <row r="432" spans="1:11" x14ac:dyDescent="0.2">
      <c r="A432" s="166"/>
      <c r="B432" s="167" t="s">
        <v>899</v>
      </c>
      <c r="C432" s="168" t="s">
        <v>899</v>
      </c>
      <c r="D432" s="168" t="s">
        <v>899</v>
      </c>
      <c r="E432" s="168" t="s">
        <v>899</v>
      </c>
      <c r="F432" s="168" t="s">
        <v>899</v>
      </c>
      <c r="G432" s="168"/>
      <c r="H432" s="168"/>
      <c r="I432" s="168" t="s">
        <v>899</v>
      </c>
      <c r="J432" s="168" t="s">
        <v>899</v>
      </c>
      <c r="K432" s="166"/>
    </row>
    <row r="433" spans="1:11" x14ac:dyDescent="0.2">
      <c r="A433" s="166"/>
      <c r="B433" s="167" t="s">
        <v>899</v>
      </c>
      <c r="C433" s="168" t="s">
        <v>899</v>
      </c>
      <c r="D433" s="167" t="s">
        <v>899</v>
      </c>
      <c r="E433" s="167" t="s">
        <v>899</v>
      </c>
      <c r="F433" s="167" t="s">
        <v>899</v>
      </c>
      <c r="G433" s="167" t="s">
        <v>899</v>
      </c>
      <c r="H433" s="167" t="s">
        <v>899</v>
      </c>
      <c r="I433" s="167" t="s">
        <v>899</v>
      </c>
      <c r="J433" s="167" t="s">
        <v>899</v>
      </c>
      <c r="K433" s="166"/>
    </row>
    <row r="434" spans="1:11" x14ac:dyDescent="0.2">
      <c r="A434" s="166"/>
      <c r="B434" s="166"/>
      <c r="C434" s="166"/>
      <c r="D434" s="166"/>
      <c r="E434" s="166"/>
      <c r="F434" s="166"/>
      <c r="G434" s="166"/>
      <c r="H434" s="166"/>
      <c r="I434" s="166"/>
      <c r="J434" s="166"/>
      <c r="K434" s="166"/>
    </row>
    <row r="435" spans="1:11" x14ac:dyDescent="0.2">
      <c r="A435" s="166"/>
      <c r="B435" s="166"/>
      <c r="C435" s="166"/>
      <c r="D435" s="166"/>
      <c r="E435" s="166"/>
      <c r="F435" s="166"/>
      <c r="G435" s="166"/>
      <c r="H435" s="166"/>
      <c r="I435" s="166"/>
      <c r="J435" s="166"/>
      <c r="K435" s="166"/>
    </row>
    <row r="436" spans="1:11" x14ac:dyDescent="0.2">
      <c r="A436" s="166"/>
      <c r="B436" s="166"/>
      <c r="C436" s="166"/>
      <c r="D436" s="166"/>
      <c r="E436" s="166"/>
      <c r="F436" s="166"/>
      <c r="G436" s="166"/>
      <c r="H436" s="166"/>
      <c r="I436" s="166"/>
      <c r="J436" s="166"/>
      <c r="K436" s="166"/>
    </row>
    <row r="437" spans="1:11" x14ac:dyDescent="0.2">
      <c r="A437" s="166"/>
      <c r="B437" s="166"/>
      <c r="C437" s="166"/>
      <c r="D437" s="166"/>
      <c r="E437" s="166"/>
      <c r="F437" s="166"/>
      <c r="G437" s="166"/>
      <c r="H437" s="166"/>
      <c r="I437" s="166"/>
      <c r="J437" s="166"/>
      <c r="K437" s="166"/>
    </row>
    <row r="438" spans="1:11" x14ac:dyDescent="0.2">
      <c r="A438" s="166"/>
      <c r="B438" s="166"/>
      <c r="C438" s="166"/>
      <c r="D438" s="166"/>
      <c r="E438" s="166"/>
      <c r="F438" s="166"/>
      <c r="G438" s="166"/>
      <c r="H438" s="166"/>
      <c r="I438" s="166"/>
      <c r="J438" s="166"/>
      <c r="K438" s="166"/>
    </row>
    <row r="439" spans="1:11" x14ac:dyDescent="0.2">
      <c r="A439" s="166"/>
      <c r="B439" s="166"/>
      <c r="C439" s="166"/>
      <c r="D439" s="166"/>
      <c r="E439" s="166"/>
      <c r="F439" s="166"/>
      <c r="G439" s="166"/>
      <c r="H439" s="166"/>
      <c r="I439" s="166"/>
      <c r="J439" s="166"/>
      <c r="K439" s="166"/>
    </row>
    <row r="440" spans="1:11" x14ac:dyDescent="0.2">
      <c r="A440" s="166"/>
      <c r="B440" s="166"/>
      <c r="C440" s="166"/>
      <c r="D440" s="166"/>
      <c r="E440" s="166"/>
      <c r="F440" s="166"/>
      <c r="G440" s="166"/>
      <c r="H440" s="166"/>
      <c r="I440" s="166"/>
      <c r="J440" s="166"/>
      <c r="K440" s="166"/>
    </row>
    <row r="441" spans="1:11" x14ac:dyDescent="0.2">
      <c r="A441" s="166"/>
      <c r="B441" s="166"/>
      <c r="C441" s="166"/>
      <c r="D441" s="166"/>
      <c r="E441" s="166"/>
      <c r="F441" s="166"/>
      <c r="G441" s="166"/>
      <c r="H441" s="166"/>
      <c r="I441" s="166"/>
      <c r="J441" s="166"/>
      <c r="K441" s="166"/>
    </row>
    <row r="442" spans="1:11" x14ac:dyDescent="0.2">
      <c r="A442" s="166"/>
      <c r="B442" s="166"/>
      <c r="C442" s="166"/>
      <c r="D442" s="166"/>
      <c r="E442" s="166"/>
      <c r="F442" s="166"/>
      <c r="G442" s="166"/>
      <c r="H442" s="166"/>
      <c r="I442" s="166"/>
      <c r="J442" s="166"/>
      <c r="K442" s="166"/>
    </row>
    <row r="443" spans="1:11" x14ac:dyDescent="0.2">
      <c r="A443" s="166"/>
      <c r="B443" s="166"/>
      <c r="C443" s="166"/>
      <c r="D443" s="166"/>
      <c r="E443" s="166"/>
      <c r="F443" s="166"/>
      <c r="G443" s="166"/>
      <c r="H443" s="166"/>
      <c r="I443" s="166"/>
      <c r="J443" s="166"/>
      <c r="K443" s="166"/>
    </row>
    <row r="444" spans="1:11" x14ac:dyDescent="0.2">
      <c r="A444" s="166"/>
      <c r="B444" s="166"/>
      <c r="C444" s="166"/>
      <c r="D444" s="166"/>
      <c r="E444" s="166"/>
      <c r="F444" s="166"/>
      <c r="G444" s="166"/>
      <c r="H444" s="166"/>
      <c r="I444" s="166"/>
      <c r="J444" s="166"/>
      <c r="K444" s="166"/>
    </row>
    <row r="445" spans="1:11" x14ac:dyDescent="0.2">
      <c r="A445" s="166"/>
      <c r="B445" s="166"/>
      <c r="C445" s="166"/>
      <c r="D445" s="166"/>
      <c r="E445" s="166"/>
      <c r="F445" s="166"/>
      <c r="G445" s="166"/>
      <c r="H445" s="166"/>
      <c r="I445" s="166"/>
      <c r="J445" s="166"/>
      <c r="K445" s="166"/>
    </row>
    <row r="446" spans="1:11" x14ac:dyDescent="0.2">
      <c r="A446" s="166"/>
      <c r="B446" s="166"/>
      <c r="C446" s="166"/>
      <c r="D446" s="166"/>
      <c r="E446" s="166"/>
      <c r="F446" s="166"/>
      <c r="G446" s="166"/>
      <c r="H446" s="166"/>
      <c r="I446" s="166"/>
      <c r="J446" s="166"/>
      <c r="K446" s="166"/>
    </row>
    <row r="447" spans="1:11" x14ac:dyDescent="0.2">
      <c r="A447" s="166"/>
      <c r="B447" s="166"/>
      <c r="C447" s="166"/>
      <c r="D447" s="166"/>
      <c r="E447" s="166"/>
      <c r="F447" s="166"/>
      <c r="G447" s="166"/>
      <c r="H447" s="166"/>
      <c r="I447" s="166"/>
      <c r="J447" s="166"/>
      <c r="K447" s="166"/>
    </row>
    <row r="448" spans="1:11" x14ac:dyDescent="0.2">
      <c r="A448" s="166"/>
      <c r="B448" s="166"/>
      <c r="C448" s="166"/>
      <c r="D448" s="166"/>
      <c r="E448" s="166"/>
      <c r="F448" s="166"/>
      <c r="G448" s="166"/>
      <c r="H448" s="166"/>
      <c r="I448" s="166"/>
      <c r="J448" s="166"/>
      <c r="K448" s="166"/>
    </row>
    <row r="449" spans="1:11" x14ac:dyDescent="0.2">
      <c r="A449" s="166"/>
      <c r="B449" s="166"/>
      <c r="C449" s="166"/>
      <c r="D449" s="166"/>
      <c r="E449" s="166"/>
      <c r="F449" s="166"/>
      <c r="G449" s="166"/>
      <c r="H449" s="166"/>
      <c r="I449" s="166"/>
      <c r="J449" s="166"/>
      <c r="K449" s="166"/>
    </row>
    <row r="450" spans="1:11" x14ac:dyDescent="0.2">
      <c r="A450" s="166"/>
      <c r="B450" s="166"/>
      <c r="C450" s="166"/>
      <c r="D450" s="166"/>
      <c r="E450" s="166"/>
      <c r="F450" s="166"/>
      <c r="G450" s="166"/>
      <c r="H450" s="166"/>
      <c r="I450" s="166"/>
      <c r="J450" s="166"/>
      <c r="K450" s="166"/>
    </row>
    <row r="451" spans="1:11" x14ac:dyDescent="0.2">
      <c r="A451" s="166"/>
      <c r="B451" s="166"/>
      <c r="C451" s="166"/>
      <c r="D451" s="166"/>
      <c r="E451" s="166"/>
      <c r="F451" s="166"/>
      <c r="G451" s="166"/>
      <c r="H451" s="166"/>
      <c r="I451" s="166"/>
      <c r="J451" s="166"/>
      <c r="K451" s="166"/>
    </row>
    <row r="452" spans="1:11" x14ac:dyDescent="0.2">
      <c r="A452" s="166"/>
      <c r="B452" s="166"/>
      <c r="C452" s="166"/>
      <c r="D452" s="166"/>
      <c r="E452" s="166"/>
      <c r="F452" s="166"/>
      <c r="G452" s="166"/>
      <c r="H452" s="166"/>
      <c r="I452" s="166"/>
      <c r="J452" s="166"/>
      <c r="K452" s="166"/>
    </row>
    <row r="453" spans="1:11" x14ac:dyDescent="0.2">
      <c r="A453" s="166"/>
      <c r="B453" s="166"/>
      <c r="C453" s="166"/>
      <c r="D453" s="166"/>
      <c r="E453" s="166"/>
      <c r="F453" s="166"/>
      <c r="G453" s="166"/>
      <c r="H453" s="166"/>
      <c r="I453" s="166"/>
      <c r="J453" s="166"/>
      <c r="K453" s="166"/>
    </row>
    <row r="454" spans="1:11" x14ac:dyDescent="0.2">
      <c r="A454" s="166"/>
      <c r="B454" s="166"/>
      <c r="C454" s="166"/>
      <c r="D454" s="166"/>
      <c r="E454" s="166"/>
      <c r="F454" s="166"/>
      <c r="G454" s="166"/>
      <c r="H454" s="166"/>
      <c r="I454" s="166"/>
      <c r="J454" s="166"/>
      <c r="K454" s="166"/>
    </row>
    <row r="455" spans="1:11" x14ac:dyDescent="0.2">
      <c r="A455" s="166"/>
      <c r="B455" s="166"/>
      <c r="C455" s="166"/>
      <c r="D455" s="166"/>
      <c r="E455" s="166"/>
      <c r="F455" s="166"/>
      <c r="G455" s="166"/>
      <c r="H455" s="166"/>
      <c r="I455" s="166"/>
      <c r="J455" s="166"/>
      <c r="K455" s="166"/>
    </row>
    <row r="456" spans="1:11" x14ac:dyDescent="0.2">
      <c r="A456" s="166"/>
      <c r="B456" s="166"/>
      <c r="C456" s="166"/>
      <c r="D456" s="166"/>
      <c r="E456" s="166"/>
      <c r="F456" s="166"/>
      <c r="G456" s="166"/>
      <c r="H456" s="166"/>
      <c r="I456" s="166"/>
      <c r="J456" s="166"/>
      <c r="K456" s="166"/>
    </row>
    <row r="457" spans="1:11" x14ac:dyDescent="0.2">
      <c r="A457" s="166"/>
      <c r="B457" s="166"/>
      <c r="C457" s="166"/>
      <c r="D457" s="166"/>
      <c r="E457" s="166"/>
      <c r="F457" s="166"/>
      <c r="G457" s="166"/>
      <c r="H457" s="166"/>
      <c r="I457" s="166"/>
      <c r="J457" s="166"/>
      <c r="K457" s="166"/>
    </row>
  </sheetData>
  <sheetProtection password="CDD2" sheet="1" objects="1" scenarios="1"/>
  <pageMargins left="0.75" right="0.75" top="1" bottom="1" header="0.5" footer="0.5"/>
  <pageSetup orientation="portrait" verticalDpi="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95"/>
  <sheetViews>
    <sheetView showGridLines="0" zoomScale="90" workbookViewId="0">
      <pane ySplit="16" topLeftCell="A17" activePane="bottomLeft" state="frozen"/>
      <selection pane="bottomLeft"/>
    </sheetView>
  </sheetViews>
  <sheetFormatPr defaultRowHeight="12.75" x14ac:dyDescent="0.2"/>
  <cols>
    <col min="1" max="1" width="3.7109375" customWidth="1"/>
    <col min="2" max="2" width="11.7109375" customWidth="1"/>
    <col min="4" max="4" width="9.7109375" customWidth="1"/>
    <col min="5" max="5" width="11.42578125" customWidth="1"/>
    <col min="10" max="10" width="10.28515625" customWidth="1"/>
    <col min="11" max="11" width="10.42578125" customWidth="1"/>
    <col min="12" max="12" width="13.42578125" customWidth="1"/>
    <col min="13" max="13" width="11.5703125" customWidth="1"/>
    <col min="15" max="15" width="0" hidden="1" customWidth="1"/>
  </cols>
  <sheetData>
    <row r="1" spans="2:14" x14ac:dyDescent="0.2">
      <c r="B1" s="116">
        <f ca="1">NOW()</f>
        <v>42899.605034722219</v>
      </c>
    </row>
    <row r="2" spans="2:14" ht="15.75" x14ac:dyDescent="0.25">
      <c r="B2" s="117"/>
      <c r="H2" s="35" t="s">
        <v>1728</v>
      </c>
    </row>
    <row r="3" spans="2:14" ht="15.75" x14ac:dyDescent="0.25">
      <c r="H3" s="35" t="s">
        <v>1723</v>
      </c>
    </row>
    <row r="4" spans="2:14" x14ac:dyDescent="0.2">
      <c r="H4" s="192"/>
    </row>
    <row r="5" spans="2:14" ht="15.75" x14ac:dyDescent="0.25">
      <c r="H5" s="35"/>
    </row>
    <row r="6" spans="2:14" ht="15.75" x14ac:dyDescent="0.25">
      <c r="D6" s="35" t="s">
        <v>1737</v>
      </c>
      <c r="E6" s="35"/>
      <c r="F6" s="192"/>
      <c r="K6" s="35" t="s">
        <v>1730</v>
      </c>
    </row>
    <row r="7" spans="2:14" ht="15" x14ac:dyDescent="0.2">
      <c r="B7" s="196"/>
    </row>
    <row r="8" spans="2:14" ht="15" x14ac:dyDescent="0.2">
      <c r="B8" s="196"/>
    </row>
    <row r="9" spans="2:14" ht="15.75" x14ac:dyDescent="0.25">
      <c r="K9" s="35" t="s">
        <v>1726</v>
      </c>
    </row>
    <row r="10" spans="2:14" ht="15.75" x14ac:dyDescent="0.25">
      <c r="F10" s="35" t="s">
        <v>895</v>
      </c>
    </row>
    <row r="11" spans="2:14" ht="23.25" x14ac:dyDescent="0.35">
      <c r="B11" s="193" t="s">
        <v>1437</v>
      </c>
      <c r="F11" s="35" t="s">
        <v>1734</v>
      </c>
      <c r="I11" s="35" t="s">
        <v>1738</v>
      </c>
    </row>
    <row r="12" spans="2:14" ht="23.25" x14ac:dyDescent="0.35">
      <c r="B12" s="193" t="s">
        <v>1441</v>
      </c>
      <c r="F12" s="35"/>
    </row>
    <row r="13" spans="2:14" ht="15.75" x14ac:dyDescent="0.25">
      <c r="I13" s="35"/>
    </row>
    <row r="14" spans="2:14" ht="16.5" thickBot="1" x14ac:dyDescent="0.3">
      <c r="J14" s="29" t="s">
        <v>1729</v>
      </c>
    </row>
    <row r="15" spans="2:14" x14ac:dyDescent="0.2">
      <c r="B15" s="382" t="s">
        <v>1439</v>
      </c>
      <c r="C15" s="371" t="s">
        <v>895</v>
      </c>
      <c r="D15" s="371" t="s">
        <v>1683</v>
      </c>
      <c r="E15" s="371" t="s">
        <v>907</v>
      </c>
      <c r="F15" s="371" t="s">
        <v>1157</v>
      </c>
      <c r="G15" s="383" t="s">
        <v>909</v>
      </c>
      <c r="H15" s="371" t="s">
        <v>1111</v>
      </c>
      <c r="I15" s="374" t="s">
        <v>1100</v>
      </c>
      <c r="J15" s="371" t="s">
        <v>896</v>
      </c>
      <c r="K15" s="386" t="s">
        <v>1096</v>
      </c>
      <c r="L15" s="374" t="s">
        <v>1563</v>
      </c>
      <c r="M15" s="374" t="s">
        <v>1792</v>
      </c>
      <c r="N15" s="374" t="s">
        <v>1484</v>
      </c>
    </row>
    <row r="16" spans="2:14" ht="13.5" thickBot="1" x14ac:dyDescent="0.25">
      <c r="B16" s="384" t="s">
        <v>894</v>
      </c>
      <c r="C16" s="385" t="s">
        <v>904</v>
      </c>
      <c r="D16" s="385" t="s">
        <v>906</v>
      </c>
      <c r="E16" s="385" t="s">
        <v>1095</v>
      </c>
      <c r="F16" s="385" t="s">
        <v>941</v>
      </c>
      <c r="G16" s="378"/>
      <c r="H16" s="380"/>
      <c r="I16" s="379" t="s">
        <v>1101</v>
      </c>
      <c r="J16" s="380" t="s">
        <v>897</v>
      </c>
      <c r="K16" s="378" t="s">
        <v>897</v>
      </c>
      <c r="L16" s="379" t="s">
        <v>1564</v>
      </c>
      <c r="M16" s="381" t="s">
        <v>1793</v>
      </c>
      <c r="N16" s="381" t="s">
        <v>1813</v>
      </c>
    </row>
    <row r="17" spans="2:15" x14ac:dyDescent="0.2">
      <c r="B17" s="131" t="s">
        <v>1440</v>
      </c>
      <c r="C17" s="132">
        <v>12.25</v>
      </c>
      <c r="D17" s="133">
        <v>0.8125</v>
      </c>
      <c r="E17" s="134">
        <v>8</v>
      </c>
      <c r="F17" s="133">
        <v>1.0625</v>
      </c>
      <c r="G17" s="179">
        <v>2</v>
      </c>
      <c r="H17" s="179">
        <v>1.125</v>
      </c>
      <c r="I17" s="179">
        <v>1</v>
      </c>
      <c r="J17" s="134" t="s">
        <v>899</v>
      </c>
      <c r="K17" s="133" t="s">
        <v>899</v>
      </c>
      <c r="L17" s="123">
        <f>((C17-(F17*1))*2+(E17*2)+(F17*2))*12/144</f>
        <v>3.375</v>
      </c>
      <c r="M17" s="280">
        <f>L17*3.2808399*0.09290304</f>
        <v>1.0287000015636241</v>
      </c>
      <c r="N17" s="280">
        <f>O17*3.2808399*0.4535924</f>
        <v>90.033924677533989</v>
      </c>
      <c r="O17">
        <v>60.5</v>
      </c>
    </row>
    <row r="18" spans="2:15" x14ac:dyDescent="0.2">
      <c r="B18" s="191" t="s">
        <v>1442</v>
      </c>
      <c r="C18" s="22">
        <v>12.25</v>
      </c>
      <c r="D18" s="21">
        <v>0.625</v>
      </c>
      <c r="E18" s="22">
        <v>7.875</v>
      </c>
      <c r="F18" s="21">
        <v>1.0625</v>
      </c>
      <c r="G18" s="21">
        <v>2</v>
      </c>
      <c r="H18" s="21">
        <v>1.125</v>
      </c>
      <c r="I18" s="21">
        <v>1</v>
      </c>
      <c r="J18" s="22" t="s">
        <v>899</v>
      </c>
      <c r="K18" s="21" t="s">
        <v>899</v>
      </c>
      <c r="L18" s="320">
        <f>((C18-(F18*1))*2+(E18*2)+(F18*2))*12/144</f>
        <v>3.3541666666666665</v>
      </c>
      <c r="M18" s="340">
        <f>L18*3.2808399*0.09290304</f>
        <v>1.0223500015539722</v>
      </c>
      <c r="N18" s="340">
        <f t="shared" ref="N18:N60" si="0">O18*3.2808399*0.4535924</f>
        <v>78.872694345608281</v>
      </c>
      <c r="O18">
        <v>53</v>
      </c>
    </row>
    <row r="19" spans="2:15" x14ac:dyDescent="0.2">
      <c r="B19" s="314"/>
      <c r="C19" s="322"/>
      <c r="D19" s="322"/>
      <c r="E19" s="322"/>
      <c r="F19" s="322"/>
      <c r="G19" s="322"/>
      <c r="H19" s="322"/>
      <c r="I19" s="322"/>
      <c r="J19" s="322"/>
      <c r="K19" s="322"/>
      <c r="L19" s="323"/>
      <c r="M19" s="324"/>
      <c r="N19" s="319"/>
    </row>
    <row r="20" spans="2:15" x14ac:dyDescent="0.2">
      <c r="B20" s="159" t="s">
        <v>1443</v>
      </c>
      <c r="C20" s="160">
        <v>12</v>
      </c>
      <c r="D20" s="133">
        <v>0.75</v>
      </c>
      <c r="E20" s="134">
        <v>7.25</v>
      </c>
      <c r="F20" s="133">
        <v>0.875</v>
      </c>
      <c r="G20" s="133">
        <v>1.75</v>
      </c>
      <c r="H20" s="133">
        <v>0.875</v>
      </c>
      <c r="I20" s="133">
        <v>1</v>
      </c>
      <c r="J20" s="134">
        <v>4</v>
      </c>
      <c r="K20" s="133">
        <v>3</v>
      </c>
      <c r="L20" s="123">
        <f t="shared" ref="L20:L61" si="1">((C20-(F20*1))*2+(E20*2)+(F20*2))*12/144</f>
        <v>3.2083333333333335</v>
      </c>
      <c r="M20" s="281">
        <f t="shared" ref="M20:M61" si="2">L20*3.2808399*0.09290304</f>
        <v>0.97790000148640821</v>
      </c>
      <c r="N20" s="281">
        <f t="shared" si="0"/>
        <v>74.408202212838006</v>
      </c>
      <c r="O20">
        <v>50</v>
      </c>
    </row>
    <row r="21" spans="2:15" x14ac:dyDescent="0.2">
      <c r="B21" s="18" t="s">
        <v>1444</v>
      </c>
      <c r="C21" s="20">
        <v>12</v>
      </c>
      <c r="D21" s="19">
        <v>0.625</v>
      </c>
      <c r="E21" s="20">
        <v>7.125</v>
      </c>
      <c r="F21" s="19">
        <v>0.875</v>
      </c>
      <c r="G21" s="19">
        <v>1.75</v>
      </c>
      <c r="H21" s="19">
        <v>0.875</v>
      </c>
      <c r="I21" s="19">
        <v>1</v>
      </c>
      <c r="J21" s="20">
        <v>4</v>
      </c>
      <c r="K21" s="19">
        <v>3</v>
      </c>
      <c r="L21" s="123">
        <f t="shared" si="1"/>
        <v>3.1875</v>
      </c>
      <c r="M21" s="281">
        <f t="shared" si="2"/>
        <v>0.97155000147675608</v>
      </c>
      <c r="N21" s="281">
        <f t="shared" si="0"/>
        <v>66.967381991554205</v>
      </c>
      <c r="O21">
        <v>45</v>
      </c>
    </row>
    <row r="22" spans="2:15" x14ac:dyDescent="0.2">
      <c r="B22" s="191" t="s">
        <v>1445</v>
      </c>
      <c r="C22" s="22">
        <v>12</v>
      </c>
      <c r="D22" s="133">
        <v>0.5</v>
      </c>
      <c r="E22" s="134">
        <v>7</v>
      </c>
      <c r="F22" s="133">
        <v>0.875</v>
      </c>
      <c r="G22" s="133">
        <v>1.75</v>
      </c>
      <c r="H22" s="133">
        <v>0.875</v>
      </c>
      <c r="I22" s="133">
        <v>1</v>
      </c>
      <c r="J22" s="134" t="s">
        <v>899</v>
      </c>
      <c r="K22" s="133" t="s">
        <v>899</v>
      </c>
      <c r="L22" s="320">
        <f t="shared" si="1"/>
        <v>3.1666666666666665</v>
      </c>
      <c r="M22" s="340">
        <f t="shared" si="2"/>
        <v>0.96520000146710394</v>
      </c>
      <c r="N22" s="340">
        <f t="shared" si="0"/>
        <v>59.526561770270405</v>
      </c>
      <c r="O22">
        <v>40</v>
      </c>
    </row>
    <row r="23" spans="2:15" x14ac:dyDescent="0.2">
      <c r="B23" s="314"/>
      <c r="C23" s="322"/>
      <c r="D23" s="322"/>
      <c r="E23" s="322"/>
      <c r="F23" s="322"/>
      <c r="G23" s="322"/>
      <c r="H23" s="322"/>
      <c r="I23" s="322"/>
      <c r="J23" s="322"/>
      <c r="K23" s="322"/>
      <c r="L23" s="323"/>
      <c r="M23" s="324"/>
      <c r="N23" s="319"/>
    </row>
    <row r="24" spans="2:15" x14ac:dyDescent="0.2">
      <c r="B24" s="159" t="s">
        <v>1446</v>
      </c>
      <c r="C24" s="160">
        <v>10.125</v>
      </c>
      <c r="D24" s="133">
        <v>0.8125</v>
      </c>
      <c r="E24" s="134">
        <v>7.25</v>
      </c>
      <c r="F24" s="133">
        <v>0.9375</v>
      </c>
      <c r="G24" s="133">
        <v>1.75</v>
      </c>
      <c r="H24" s="133">
        <v>0.9375</v>
      </c>
      <c r="I24" s="133">
        <v>1</v>
      </c>
      <c r="J24" s="134" t="s">
        <v>899</v>
      </c>
      <c r="K24" s="133" t="s">
        <v>899</v>
      </c>
      <c r="L24" s="123">
        <f t="shared" si="1"/>
        <v>2.8958333333333335</v>
      </c>
      <c r="M24" s="281">
        <f t="shared" si="2"/>
        <v>0.88265000134162819</v>
      </c>
      <c r="N24" s="281">
        <f t="shared" si="0"/>
        <v>71.43187412432448</v>
      </c>
      <c r="O24">
        <v>48</v>
      </c>
    </row>
    <row r="25" spans="2:15" x14ac:dyDescent="0.2">
      <c r="B25" s="191" t="s">
        <v>1447</v>
      </c>
      <c r="C25" s="22">
        <v>10.125</v>
      </c>
      <c r="D25" s="21">
        <v>0.6875</v>
      </c>
      <c r="E25" s="22">
        <v>7</v>
      </c>
      <c r="F25" s="21">
        <v>0.9375</v>
      </c>
      <c r="G25" s="21">
        <v>1.75</v>
      </c>
      <c r="H25" s="21">
        <v>0.9375</v>
      </c>
      <c r="I25" s="21">
        <v>1</v>
      </c>
      <c r="J25" s="22" t="s">
        <v>899</v>
      </c>
      <c r="K25" s="21" t="s">
        <v>899</v>
      </c>
      <c r="L25" s="320">
        <f t="shared" si="1"/>
        <v>2.8541666666666665</v>
      </c>
      <c r="M25" s="340">
        <f t="shared" si="2"/>
        <v>0.86995000132232414</v>
      </c>
      <c r="N25" s="340">
        <f t="shared" si="0"/>
        <v>63.99105390304068</v>
      </c>
      <c r="O25">
        <v>43</v>
      </c>
    </row>
    <row r="26" spans="2:15" x14ac:dyDescent="0.2">
      <c r="B26" s="314"/>
      <c r="C26" s="322"/>
      <c r="D26" s="322"/>
      <c r="E26" s="322"/>
      <c r="F26" s="322"/>
      <c r="G26" s="322"/>
      <c r="H26" s="322"/>
      <c r="I26" s="322"/>
      <c r="J26" s="322"/>
      <c r="K26" s="322"/>
      <c r="L26" s="323"/>
      <c r="M26" s="324"/>
      <c r="N26" s="319"/>
    </row>
    <row r="27" spans="2:15" x14ac:dyDescent="0.2">
      <c r="B27" s="159" t="s">
        <v>1448</v>
      </c>
      <c r="C27" s="160">
        <v>10</v>
      </c>
      <c r="D27" s="133">
        <v>0.625</v>
      </c>
      <c r="E27" s="134">
        <v>6.375</v>
      </c>
      <c r="F27" s="133">
        <v>0.8125</v>
      </c>
      <c r="G27" s="133">
        <v>1.625</v>
      </c>
      <c r="H27" s="133">
        <v>0.8125</v>
      </c>
      <c r="I27" s="133">
        <v>0.875</v>
      </c>
      <c r="J27" s="134">
        <v>3.5</v>
      </c>
      <c r="K27" s="133">
        <v>3</v>
      </c>
      <c r="L27" s="123">
        <f t="shared" si="1"/>
        <v>2.7291666666666665</v>
      </c>
      <c r="M27" s="281">
        <f t="shared" si="2"/>
        <v>0.83185000126441211</v>
      </c>
      <c r="N27" s="281">
        <f t="shared" si="0"/>
        <v>55.806151659628505</v>
      </c>
      <c r="O27">
        <v>37.5</v>
      </c>
    </row>
    <row r="28" spans="2:15" x14ac:dyDescent="0.2">
      <c r="B28" s="191" t="s">
        <v>1449</v>
      </c>
      <c r="C28" s="22">
        <v>10</v>
      </c>
      <c r="D28" s="21">
        <v>0.5</v>
      </c>
      <c r="E28" s="22">
        <v>6.25</v>
      </c>
      <c r="F28" s="21">
        <v>0.8125</v>
      </c>
      <c r="G28" s="21">
        <v>1.625</v>
      </c>
      <c r="H28" s="21">
        <v>0.8125</v>
      </c>
      <c r="I28" s="21">
        <v>0.875</v>
      </c>
      <c r="J28" s="22" t="s">
        <v>899</v>
      </c>
      <c r="K28" s="21" t="s">
        <v>899</v>
      </c>
      <c r="L28" s="320">
        <f t="shared" si="1"/>
        <v>2.7083333333333335</v>
      </c>
      <c r="M28" s="340">
        <f t="shared" si="2"/>
        <v>0.8255000012547602</v>
      </c>
      <c r="N28" s="340">
        <f t="shared" si="0"/>
        <v>49.109413460473085</v>
      </c>
      <c r="O28">
        <v>33</v>
      </c>
    </row>
    <row r="29" spans="2:15" x14ac:dyDescent="0.2">
      <c r="B29" s="314"/>
      <c r="C29" s="322"/>
      <c r="D29" s="322"/>
      <c r="E29" s="322"/>
      <c r="F29" s="322"/>
      <c r="G29" s="322"/>
      <c r="H29" s="322"/>
      <c r="I29" s="322"/>
      <c r="J29" s="322"/>
      <c r="K29" s="322"/>
      <c r="L29" s="323"/>
      <c r="M29" s="324"/>
      <c r="N29" s="319"/>
    </row>
    <row r="30" spans="2:15" x14ac:dyDescent="0.2">
      <c r="B30" s="159" t="s">
        <v>1450</v>
      </c>
      <c r="C30" s="160">
        <v>9</v>
      </c>
      <c r="D30" s="135">
        <v>0.6875</v>
      </c>
      <c r="E30" s="160">
        <v>6.25</v>
      </c>
      <c r="F30" s="135">
        <v>0.6875</v>
      </c>
      <c r="G30" s="135">
        <v>1.5</v>
      </c>
      <c r="H30" s="135">
        <v>0.6875</v>
      </c>
      <c r="I30" s="135">
        <v>0.875</v>
      </c>
      <c r="J30" s="160">
        <v>3.5</v>
      </c>
      <c r="K30" s="135">
        <v>2.75</v>
      </c>
      <c r="L30" s="123">
        <f t="shared" si="1"/>
        <v>2.5416666666666665</v>
      </c>
      <c r="M30" s="281">
        <f t="shared" si="2"/>
        <v>0.77470000117754412</v>
      </c>
      <c r="N30" s="281">
        <f t="shared" si="0"/>
        <v>52.085741548986604</v>
      </c>
      <c r="O30">
        <v>35</v>
      </c>
    </row>
    <row r="31" spans="2:15" x14ac:dyDescent="0.2">
      <c r="B31" s="191" t="s">
        <v>1451</v>
      </c>
      <c r="C31" s="22">
        <v>9</v>
      </c>
      <c r="D31" s="21">
        <v>0.4375</v>
      </c>
      <c r="E31" s="22">
        <v>6</v>
      </c>
      <c r="F31" s="21">
        <v>0.6875</v>
      </c>
      <c r="G31" s="21">
        <v>1.5</v>
      </c>
      <c r="H31" s="21">
        <v>0.6875</v>
      </c>
      <c r="I31" s="21">
        <v>0.875</v>
      </c>
      <c r="J31" s="22">
        <v>3.5</v>
      </c>
      <c r="K31" s="21">
        <v>2.75</v>
      </c>
      <c r="L31" s="320">
        <f t="shared" si="1"/>
        <v>2.5</v>
      </c>
      <c r="M31" s="340">
        <f t="shared" si="2"/>
        <v>0.76200000115824007</v>
      </c>
      <c r="N31" s="340">
        <f t="shared" si="0"/>
        <v>40.701286610422393</v>
      </c>
      <c r="O31">
        <v>27.35</v>
      </c>
    </row>
    <row r="32" spans="2:15" x14ac:dyDescent="0.2">
      <c r="B32" s="314"/>
      <c r="C32" s="322"/>
      <c r="D32" s="322"/>
      <c r="E32" s="322"/>
      <c r="F32" s="322"/>
      <c r="G32" s="322"/>
      <c r="H32" s="322"/>
      <c r="I32" s="322"/>
      <c r="J32" s="322"/>
      <c r="K32" s="322"/>
      <c r="L32" s="323"/>
      <c r="M32" s="324"/>
      <c r="N32" s="319"/>
    </row>
    <row r="33" spans="2:15" x14ac:dyDescent="0.2">
      <c r="B33" s="159" t="s">
        <v>1452</v>
      </c>
      <c r="C33" s="160">
        <v>7.5</v>
      </c>
      <c r="D33" s="133">
        <v>0.5625</v>
      </c>
      <c r="E33" s="134">
        <v>5.625</v>
      </c>
      <c r="F33" s="133">
        <v>0.625</v>
      </c>
      <c r="G33" s="133">
        <v>1.375</v>
      </c>
      <c r="H33" s="133">
        <v>0.5625</v>
      </c>
      <c r="I33" s="133">
        <v>0.75</v>
      </c>
      <c r="J33" s="134">
        <v>3.5</v>
      </c>
      <c r="K33" s="133">
        <v>2.75</v>
      </c>
      <c r="L33" s="123">
        <f t="shared" si="1"/>
        <v>2.1875</v>
      </c>
      <c r="M33" s="281">
        <f t="shared" si="2"/>
        <v>0.66675000101346005</v>
      </c>
      <c r="N33" s="281">
        <f t="shared" si="0"/>
        <v>37.204101106419003</v>
      </c>
      <c r="O33">
        <v>25</v>
      </c>
    </row>
    <row r="34" spans="2:15" x14ac:dyDescent="0.2">
      <c r="B34" s="191" t="s">
        <v>1453</v>
      </c>
      <c r="C34" s="22">
        <v>7.5</v>
      </c>
      <c r="D34" s="21">
        <v>0.4375</v>
      </c>
      <c r="E34" s="22">
        <v>5.5</v>
      </c>
      <c r="F34" s="21">
        <v>0.625</v>
      </c>
      <c r="G34" s="21">
        <v>1.375</v>
      </c>
      <c r="H34" s="21">
        <v>0.5625</v>
      </c>
      <c r="I34" s="21">
        <v>0.75</v>
      </c>
      <c r="J34" s="22">
        <v>3.5</v>
      </c>
      <c r="K34" s="21">
        <v>2.75</v>
      </c>
      <c r="L34" s="320">
        <f t="shared" si="1"/>
        <v>2.1666666666666665</v>
      </c>
      <c r="M34" s="340">
        <f t="shared" si="2"/>
        <v>0.66040000100380802</v>
      </c>
      <c r="N34" s="340">
        <f t="shared" si="0"/>
        <v>31.921118749307499</v>
      </c>
      <c r="O34">
        <v>21.45</v>
      </c>
    </row>
    <row r="35" spans="2:15" x14ac:dyDescent="0.2">
      <c r="B35" s="314"/>
      <c r="C35" s="322"/>
      <c r="D35" s="322"/>
      <c r="E35" s="322"/>
      <c r="F35" s="322"/>
      <c r="G35" s="322"/>
      <c r="H35" s="322"/>
      <c r="I35" s="322"/>
      <c r="J35" s="322"/>
      <c r="K35" s="322"/>
      <c r="L35" s="323"/>
      <c r="M35" s="324"/>
      <c r="N35" s="319"/>
    </row>
    <row r="36" spans="2:15" x14ac:dyDescent="0.2">
      <c r="B36" s="159" t="s">
        <v>1454</v>
      </c>
      <c r="C36" s="160">
        <v>6</v>
      </c>
      <c r="D36" s="135">
        <v>0.6875</v>
      </c>
      <c r="E36" s="160">
        <v>5.5</v>
      </c>
      <c r="F36" s="135">
        <v>0.6875</v>
      </c>
      <c r="G36" s="135">
        <v>1.4375</v>
      </c>
      <c r="H36" s="135">
        <v>0.6875</v>
      </c>
      <c r="I36" s="135">
        <v>0.75</v>
      </c>
      <c r="J36" s="160">
        <v>3</v>
      </c>
      <c r="K36" s="135">
        <v>2.75</v>
      </c>
      <c r="L36" s="123">
        <f t="shared" si="1"/>
        <v>1.9166666666666667</v>
      </c>
      <c r="M36" s="281">
        <f t="shared" si="2"/>
        <v>0.58420000088798407</v>
      </c>
      <c r="N36" s="281">
        <f t="shared" si="0"/>
        <v>37.204101106419003</v>
      </c>
      <c r="O36">
        <v>25</v>
      </c>
    </row>
    <row r="37" spans="2:15" x14ac:dyDescent="0.2">
      <c r="B37" s="191" t="s">
        <v>1455</v>
      </c>
      <c r="C37" s="22">
        <v>6</v>
      </c>
      <c r="D37" s="21">
        <v>0.4375</v>
      </c>
      <c r="E37" s="22">
        <v>5.25</v>
      </c>
      <c r="F37" s="21">
        <v>0.6875</v>
      </c>
      <c r="G37" s="21">
        <v>1.4375</v>
      </c>
      <c r="H37" s="21">
        <v>0.625</v>
      </c>
      <c r="I37" s="21">
        <v>0.75</v>
      </c>
      <c r="J37" s="22">
        <v>3</v>
      </c>
      <c r="K37" s="21">
        <v>2.75</v>
      </c>
      <c r="L37" s="320">
        <f t="shared" si="1"/>
        <v>1.875</v>
      </c>
      <c r="M37" s="340">
        <f t="shared" si="2"/>
        <v>0.57150000086868002</v>
      </c>
      <c r="N37" s="340">
        <f t="shared" si="0"/>
        <v>30.358546502837903</v>
      </c>
      <c r="O37">
        <v>20.399999999999999</v>
      </c>
    </row>
    <row r="38" spans="2:15" x14ac:dyDescent="0.2">
      <c r="B38" s="314"/>
      <c r="C38" s="322"/>
      <c r="D38" s="322"/>
      <c r="E38" s="322"/>
      <c r="F38" s="322"/>
      <c r="G38" s="322"/>
      <c r="H38" s="322"/>
      <c r="I38" s="322"/>
      <c r="J38" s="322"/>
      <c r="K38" s="322"/>
      <c r="L38" s="323"/>
      <c r="M38" s="324"/>
      <c r="N38" s="319"/>
    </row>
    <row r="39" spans="2:15" x14ac:dyDescent="0.2">
      <c r="B39" s="159" t="s">
        <v>1456</v>
      </c>
      <c r="C39" s="160">
        <v>6</v>
      </c>
      <c r="D39" s="135">
        <v>0.4375</v>
      </c>
      <c r="E39" s="160">
        <v>5.125</v>
      </c>
      <c r="F39" s="135">
        <v>0.5625</v>
      </c>
      <c r="G39" s="135">
        <v>1.1875</v>
      </c>
      <c r="H39" s="135">
        <v>0.5</v>
      </c>
      <c r="I39" s="135">
        <v>0.75</v>
      </c>
      <c r="J39" s="160">
        <v>3</v>
      </c>
      <c r="K39" s="135">
        <v>2.5</v>
      </c>
      <c r="L39" s="123">
        <f t="shared" si="1"/>
        <v>1.8541666666666667</v>
      </c>
      <c r="M39" s="281">
        <f t="shared" si="2"/>
        <v>0.56515000085902811</v>
      </c>
      <c r="N39" s="281">
        <f t="shared" si="0"/>
        <v>26.042870774493302</v>
      </c>
      <c r="O39">
        <v>17.5</v>
      </c>
    </row>
    <row r="40" spans="2:15" x14ac:dyDescent="0.2">
      <c r="B40" s="191" t="s">
        <v>1457</v>
      </c>
      <c r="C40" s="22">
        <v>6</v>
      </c>
      <c r="D40" s="133">
        <v>0.375</v>
      </c>
      <c r="E40" s="134">
        <v>5</v>
      </c>
      <c r="F40" s="133">
        <v>0.5625</v>
      </c>
      <c r="G40" s="133">
        <v>1.1875</v>
      </c>
      <c r="H40" s="133">
        <v>0.5</v>
      </c>
      <c r="I40" s="133">
        <v>0.75</v>
      </c>
      <c r="J40" s="134">
        <v>3</v>
      </c>
      <c r="K40" s="133">
        <v>2.5</v>
      </c>
      <c r="L40" s="320">
        <f t="shared" si="1"/>
        <v>1.8333333333333333</v>
      </c>
      <c r="M40" s="340">
        <f t="shared" si="2"/>
        <v>0.55880000084937598</v>
      </c>
      <c r="N40" s="340">
        <f t="shared" si="0"/>
        <v>23.661808303682488</v>
      </c>
      <c r="O40">
        <v>15.9</v>
      </c>
    </row>
    <row r="41" spans="2:15" x14ac:dyDescent="0.2">
      <c r="B41" s="314"/>
      <c r="C41" s="322"/>
      <c r="D41" s="322"/>
      <c r="E41" s="322"/>
      <c r="F41" s="322"/>
      <c r="G41" s="322"/>
      <c r="H41" s="322"/>
      <c r="I41" s="322"/>
      <c r="J41" s="322"/>
      <c r="K41" s="322"/>
      <c r="L41" s="323"/>
      <c r="M41" s="324"/>
      <c r="N41" s="319"/>
    </row>
    <row r="42" spans="2:15" x14ac:dyDescent="0.2">
      <c r="B42" s="159" t="s">
        <v>1458</v>
      </c>
      <c r="C42" s="160">
        <v>5</v>
      </c>
      <c r="D42" s="133">
        <v>0.625</v>
      </c>
      <c r="E42" s="134">
        <v>5</v>
      </c>
      <c r="F42" s="133">
        <v>0.5</v>
      </c>
      <c r="G42" s="133">
        <v>1.125</v>
      </c>
      <c r="H42" s="133">
        <v>0.5</v>
      </c>
      <c r="I42" s="133">
        <v>0.75</v>
      </c>
      <c r="J42" s="134">
        <v>2.75</v>
      </c>
      <c r="K42" s="133">
        <v>2.5</v>
      </c>
      <c r="L42" s="123">
        <f t="shared" si="1"/>
        <v>1.6666666666666667</v>
      </c>
      <c r="M42" s="281">
        <f t="shared" si="2"/>
        <v>0.50800000077216012</v>
      </c>
      <c r="N42" s="281">
        <f t="shared" si="0"/>
        <v>26.042870774493302</v>
      </c>
      <c r="O42">
        <v>17.5</v>
      </c>
    </row>
    <row r="43" spans="2:15" x14ac:dyDescent="0.2">
      <c r="B43" s="191" t="s">
        <v>1459</v>
      </c>
      <c r="C43" s="22">
        <v>5</v>
      </c>
      <c r="D43" s="21">
        <v>0.3125</v>
      </c>
      <c r="E43" s="22">
        <v>4.625</v>
      </c>
      <c r="F43" s="21">
        <v>0.5</v>
      </c>
      <c r="G43" s="21">
        <v>1.125</v>
      </c>
      <c r="H43" s="21">
        <v>0.5</v>
      </c>
      <c r="I43" s="21">
        <v>0.75</v>
      </c>
      <c r="J43" s="22">
        <v>2.75</v>
      </c>
      <c r="K43" s="21">
        <v>2.5</v>
      </c>
      <c r="L43" s="320">
        <f t="shared" si="1"/>
        <v>1.6041666666666667</v>
      </c>
      <c r="M43" s="340">
        <f t="shared" si="2"/>
        <v>0.48895000074320411</v>
      </c>
      <c r="N43" s="340">
        <f t="shared" si="0"/>
        <v>18.899683362060852</v>
      </c>
      <c r="O43">
        <v>12.7</v>
      </c>
    </row>
    <row r="44" spans="2:15" x14ac:dyDescent="0.2">
      <c r="B44" s="314"/>
      <c r="C44" s="322"/>
      <c r="D44" s="322"/>
      <c r="E44" s="322"/>
      <c r="F44" s="322"/>
      <c r="G44" s="322"/>
      <c r="H44" s="322"/>
      <c r="I44" s="322"/>
      <c r="J44" s="322"/>
      <c r="K44" s="322"/>
      <c r="L44" s="323"/>
      <c r="M44" s="324"/>
      <c r="N44" s="319"/>
    </row>
    <row r="45" spans="2:15" x14ac:dyDescent="0.2">
      <c r="B45" s="159" t="s">
        <v>1460</v>
      </c>
      <c r="C45" s="160">
        <v>4</v>
      </c>
      <c r="D45" s="135">
        <v>0.4375</v>
      </c>
      <c r="E45" s="160">
        <v>4.125</v>
      </c>
      <c r="F45" s="135">
        <v>0.4375</v>
      </c>
      <c r="G45" s="135">
        <v>1</v>
      </c>
      <c r="H45" s="135">
        <v>0.4375</v>
      </c>
      <c r="I45" s="135">
        <v>0.75</v>
      </c>
      <c r="J45" s="160">
        <v>2.25</v>
      </c>
      <c r="K45" s="135">
        <v>2.5</v>
      </c>
      <c r="L45" s="123">
        <f t="shared" si="1"/>
        <v>1.3541666666666667</v>
      </c>
      <c r="M45" s="281">
        <f t="shared" si="2"/>
        <v>0.4127500006273801</v>
      </c>
      <c r="N45" s="281">
        <f t="shared" si="0"/>
        <v>17.113886508952739</v>
      </c>
      <c r="O45">
        <v>11.5</v>
      </c>
    </row>
    <row r="46" spans="2:15" x14ac:dyDescent="0.2">
      <c r="B46" s="191" t="s">
        <v>1461</v>
      </c>
      <c r="C46" s="22">
        <v>4</v>
      </c>
      <c r="D46" s="133">
        <v>0.25</v>
      </c>
      <c r="E46" s="134">
        <v>4</v>
      </c>
      <c r="F46" s="133">
        <v>0.4375</v>
      </c>
      <c r="G46" s="133">
        <v>1</v>
      </c>
      <c r="H46" s="133">
        <v>0.4375</v>
      </c>
      <c r="I46" s="133">
        <v>0.75</v>
      </c>
      <c r="J46" s="134">
        <v>2.25</v>
      </c>
      <c r="K46" s="133">
        <v>2.5</v>
      </c>
      <c r="L46" s="320">
        <f t="shared" si="1"/>
        <v>1.3333333333333333</v>
      </c>
      <c r="M46" s="340">
        <f t="shared" si="2"/>
        <v>0.40640000061772796</v>
      </c>
      <c r="N46" s="340">
        <f t="shared" si="0"/>
        <v>13.691109207162192</v>
      </c>
      <c r="O46">
        <v>9.1999999999999993</v>
      </c>
    </row>
    <row r="47" spans="2:15" x14ac:dyDescent="0.2">
      <c r="B47" s="314"/>
      <c r="C47" s="322"/>
      <c r="D47" s="322"/>
      <c r="E47" s="322"/>
      <c r="F47" s="322"/>
      <c r="G47" s="322"/>
      <c r="H47" s="322"/>
      <c r="I47" s="322"/>
      <c r="J47" s="322"/>
      <c r="K47" s="322"/>
      <c r="L47" s="323"/>
      <c r="M47" s="324"/>
      <c r="N47" s="319"/>
    </row>
    <row r="48" spans="2:15" x14ac:dyDescent="0.2">
      <c r="B48" s="159" t="s">
        <v>1462</v>
      </c>
      <c r="C48" s="160">
        <v>3.5</v>
      </c>
      <c r="D48" s="133">
        <v>0.4375</v>
      </c>
      <c r="E48" s="134">
        <v>3.875</v>
      </c>
      <c r="F48" s="133">
        <v>0.375</v>
      </c>
      <c r="G48" s="133">
        <v>0.9375</v>
      </c>
      <c r="H48" s="133">
        <v>0.375</v>
      </c>
      <c r="I48" s="133">
        <v>0.625</v>
      </c>
      <c r="J48" s="134" t="s">
        <v>899</v>
      </c>
      <c r="K48" s="133" t="s">
        <v>899</v>
      </c>
      <c r="L48" s="123">
        <f t="shared" si="1"/>
        <v>1.2291666666666667</v>
      </c>
      <c r="M48" s="281">
        <f t="shared" si="2"/>
        <v>0.37465000056946801</v>
      </c>
      <c r="N48" s="281">
        <f t="shared" si="0"/>
        <v>14.881640442567601</v>
      </c>
      <c r="O48">
        <v>10</v>
      </c>
    </row>
    <row r="49" spans="2:15" x14ac:dyDescent="0.2">
      <c r="B49" s="191" t="s">
        <v>1463</v>
      </c>
      <c r="C49" s="22">
        <v>3.5</v>
      </c>
      <c r="D49" s="21">
        <v>0.25</v>
      </c>
      <c r="E49" s="22">
        <v>3.625</v>
      </c>
      <c r="F49" s="21">
        <v>0.375</v>
      </c>
      <c r="G49" s="21">
        <v>0.9375</v>
      </c>
      <c r="H49" s="21">
        <v>0.375</v>
      </c>
      <c r="I49" s="21">
        <v>0.625</v>
      </c>
      <c r="J49" s="22">
        <v>2.25</v>
      </c>
      <c r="K49" s="21">
        <v>2.5</v>
      </c>
      <c r="L49" s="320">
        <f t="shared" si="1"/>
        <v>1.1875</v>
      </c>
      <c r="M49" s="340">
        <f t="shared" si="2"/>
        <v>0.36195000055016402</v>
      </c>
      <c r="N49" s="340">
        <f t="shared" si="0"/>
        <v>96.730662876689408</v>
      </c>
      <c r="O49">
        <v>65</v>
      </c>
    </row>
    <row r="50" spans="2:15" x14ac:dyDescent="0.2">
      <c r="B50" s="314"/>
      <c r="C50" s="322"/>
      <c r="D50" s="322"/>
      <c r="E50" s="322"/>
      <c r="F50" s="322"/>
      <c r="G50" s="322"/>
      <c r="H50" s="322"/>
      <c r="I50" s="322"/>
      <c r="J50" s="322"/>
      <c r="K50" s="322"/>
      <c r="L50" s="323"/>
      <c r="M50" s="324"/>
      <c r="N50" s="319"/>
    </row>
    <row r="51" spans="2:15" x14ac:dyDescent="0.2">
      <c r="B51" s="159" t="s">
        <v>1464</v>
      </c>
      <c r="C51" s="160">
        <v>3</v>
      </c>
      <c r="D51" s="135">
        <v>0.4375</v>
      </c>
      <c r="E51" s="160">
        <v>3.625</v>
      </c>
      <c r="F51" s="135">
        <v>0.375</v>
      </c>
      <c r="G51" s="135">
        <v>0.875</v>
      </c>
      <c r="H51" s="135">
        <v>0.375</v>
      </c>
      <c r="I51" s="135">
        <v>0.625</v>
      </c>
      <c r="J51" s="160">
        <v>2</v>
      </c>
      <c r="K51" s="135">
        <v>2.25</v>
      </c>
      <c r="L51" s="123">
        <f t="shared" si="1"/>
        <v>1.1041666666666667</v>
      </c>
      <c r="M51" s="281">
        <f t="shared" si="2"/>
        <v>0.33655000051155609</v>
      </c>
      <c r="N51" s="281">
        <f t="shared" si="0"/>
        <v>12.835414881714556</v>
      </c>
      <c r="O51">
        <v>8.625</v>
      </c>
    </row>
    <row r="52" spans="2:15" x14ac:dyDescent="0.2">
      <c r="B52" s="191" t="s">
        <v>1465</v>
      </c>
      <c r="C52" s="22">
        <v>3</v>
      </c>
      <c r="D52" s="133">
        <v>0.25</v>
      </c>
      <c r="E52" s="134">
        <v>3.375</v>
      </c>
      <c r="F52" s="133">
        <v>0.375</v>
      </c>
      <c r="G52" s="133">
        <v>0.875</v>
      </c>
      <c r="H52" s="133">
        <v>0.375</v>
      </c>
      <c r="I52" s="181" t="s">
        <v>1103</v>
      </c>
      <c r="J52" s="182" t="s">
        <v>1103</v>
      </c>
      <c r="K52" s="133">
        <v>2.25</v>
      </c>
      <c r="L52" s="320">
        <f t="shared" si="1"/>
        <v>1.0625</v>
      </c>
      <c r="M52" s="340">
        <f t="shared" si="2"/>
        <v>0.32385000049225204</v>
      </c>
      <c r="N52" s="340">
        <f t="shared" si="0"/>
        <v>9.3010252766047508</v>
      </c>
      <c r="O52">
        <v>6.25</v>
      </c>
    </row>
    <row r="53" spans="2:15" x14ac:dyDescent="0.2">
      <c r="B53" s="314"/>
      <c r="C53" s="322"/>
      <c r="D53" s="322"/>
      <c r="E53" s="322"/>
      <c r="F53" s="322"/>
      <c r="G53" s="322"/>
      <c r="H53" s="322"/>
      <c r="I53" s="344"/>
      <c r="J53" s="344"/>
      <c r="K53" s="322"/>
      <c r="L53" s="323"/>
      <c r="M53" s="324"/>
      <c r="N53" s="319"/>
    </row>
    <row r="54" spans="2:15" x14ac:dyDescent="0.2">
      <c r="B54" s="159" t="s">
        <v>1466</v>
      </c>
      <c r="C54" s="160">
        <v>2.5</v>
      </c>
      <c r="D54" s="133">
        <v>0.5</v>
      </c>
      <c r="E54" s="134">
        <v>3.25</v>
      </c>
      <c r="F54" s="133">
        <v>0.3125</v>
      </c>
      <c r="G54" s="133">
        <v>0.8125</v>
      </c>
      <c r="H54" s="133">
        <v>0.3125</v>
      </c>
      <c r="I54" s="181" t="s">
        <v>1103</v>
      </c>
      <c r="J54" s="183" t="s">
        <v>899</v>
      </c>
      <c r="K54" s="133" t="s">
        <v>899</v>
      </c>
      <c r="L54" s="123">
        <f t="shared" si="1"/>
        <v>0.95833333333333337</v>
      </c>
      <c r="M54" s="281">
        <f t="shared" si="2"/>
        <v>0.29210000044399204</v>
      </c>
      <c r="N54" s="281">
        <f t="shared" si="0"/>
        <v>10.975209826393606</v>
      </c>
      <c r="O54">
        <v>7.375</v>
      </c>
    </row>
    <row r="55" spans="2:15" x14ac:dyDescent="0.2">
      <c r="B55" s="191" t="s">
        <v>1467</v>
      </c>
      <c r="C55" s="22">
        <v>2.5</v>
      </c>
      <c r="D55" s="21">
        <v>0.1875</v>
      </c>
      <c r="E55" s="22">
        <v>3</v>
      </c>
      <c r="F55" s="21">
        <v>0.3125</v>
      </c>
      <c r="G55" s="21">
        <v>0.8125</v>
      </c>
      <c r="H55" s="21">
        <v>0.3125</v>
      </c>
      <c r="I55" s="345" t="s">
        <v>1103</v>
      </c>
      <c r="J55" s="346" t="s">
        <v>1103</v>
      </c>
      <c r="K55" s="21">
        <v>2.25</v>
      </c>
      <c r="L55" s="320">
        <f t="shared" si="1"/>
        <v>0.91666666666666663</v>
      </c>
      <c r="M55" s="340">
        <f t="shared" si="2"/>
        <v>0.27940000042468799</v>
      </c>
      <c r="N55" s="340">
        <f t="shared" si="0"/>
        <v>7.4408202212838006</v>
      </c>
      <c r="O55">
        <v>5</v>
      </c>
    </row>
    <row r="56" spans="2:15" x14ac:dyDescent="0.2">
      <c r="B56" s="314" t="s">
        <v>899</v>
      </c>
      <c r="C56" s="322" t="s">
        <v>899</v>
      </c>
      <c r="D56" s="322" t="s">
        <v>899</v>
      </c>
      <c r="E56" s="322" t="s">
        <v>899</v>
      </c>
      <c r="F56" s="322" t="s">
        <v>899</v>
      </c>
      <c r="G56" s="322" t="s">
        <v>899</v>
      </c>
      <c r="H56" s="322"/>
      <c r="I56" s="344" t="s">
        <v>899</v>
      </c>
      <c r="J56" s="344" t="s">
        <v>899</v>
      </c>
      <c r="K56" s="322" t="s">
        <v>899</v>
      </c>
      <c r="L56" s="323"/>
      <c r="M56" s="324"/>
      <c r="N56" s="319"/>
    </row>
    <row r="57" spans="2:15" x14ac:dyDescent="0.2">
      <c r="B57" s="159" t="s">
        <v>1468</v>
      </c>
      <c r="C57" s="160">
        <v>2</v>
      </c>
      <c r="D57" s="135">
        <v>0.3125</v>
      </c>
      <c r="E57" s="160">
        <v>2.75</v>
      </c>
      <c r="F57" s="135">
        <v>0.3125</v>
      </c>
      <c r="G57" s="135">
        <v>0.75</v>
      </c>
      <c r="H57" s="135">
        <v>0.3125</v>
      </c>
      <c r="I57" s="347" t="s">
        <v>1103</v>
      </c>
      <c r="J57" s="348" t="s">
        <v>1103</v>
      </c>
      <c r="K57" s="135">
        <v>2</v>
      </c>
      <c r="L57" s="123">
        <f t="shared" si="1"/>
        <v>0.79166666666666663</v>
      </c>
      <c r="M57" s="281">
        <f t="shared" si="2"/>
        <v>0.24130000036677599</v>
      </c>
      <c r="N57" s="281">
        <f t="shared" si="0"/>
        <v>7.0687792102196099</v>
      </c>
      <c r="O57">
        <v>4.75</v>
      </c>
    </row>
    <row r="58" spans="2:15" x14ac:dyDescent="0.2">
      <c r="B58" s="191" t="s">
        <v>1469</v>
      </c>
      <c r="C58" s="22">
        <v>2</v>
      </c>
      <c r="D58" s="133">
        <v>0.1875</v>
      </c>
      <c r="E58" s="134">
        <v>2.625</v>
      </c>
      <c r="F58" s="133">
        <v>0.3125</v>
      </c>
      <c r="G58" s="133">
        <v>0.75</v>
      </c>
      <c r="H58" s="133">
        <v>0.3125</v>
      </c>
      <c r="I58" s="181" t="s">
        <v>1103</v>
      </c>
      <c r="J58" s="182" t="s">
        <v>1103</v>
      </c>
      <c r="K58" s="133">
        <v>2</v>
      </c>
      <c r="L58" s="320">
        <f t="shared" si="1"/>
        <v>0.77083333333333337</v>
      </c>
      <c r="M58" s="340">
        <f t="shared" si="2"/>
        <v>0.23495000035712404</v>
      </c>
      <c r="N58" s="340">
        <f t="shared" si="0"/>
        <v>5.7294315703885266</v>
      </c>
      <c r="O58">
        <v>3.85</v>
      </c>
    </row>
    <row r="59" spans="2:15" x14ac:dyDescent="0.2">
      <c r="B59" s="314"/>
      <c r="C59" s="322"/>
      <c r="D59" s="322"/>
      <c r="E59" s="322"/>
      <c r="F59" s="322"/>
      <c r="G59" s="322"/>
      <c r="H59" s="322"/>
      <c r="I59" s="344"/>
      <c r="J59" s="344"/>
      <c r="K59" s="322"/>
      <c r="L59" s="323"/>
      <c r="M59" s="324"/>
      <c r="N59" s="319"/>
      <c r="O59" t="s">
        <v>899</v>
      </c>
    </row>
    <row r="60" spans="2:15" x14ac:dyDescent="0.2">
      <c r="B60" s="159" t="s">
        <v>1470</v>
      </c>
      <c r="C60" s="160">
        <v>1.5</v>
      </c>
      <c r="D60" s="133">
        <v>0.375</v>
      </c>
      <c r="E60" s="134">
        <v>2.5</v>
      </c>
      <c r="F60" s="133">
        <v>0.25</v>
      </c>
      <c r="G60" s="133">
        <v>0.6875</v>
      </c>
      <c r="H60" s="133">
        <v>0.25</v>
      </c>
      <c r="I60" s="181" t="s">
        <v>1103</v>
      </c>
      <c r="J60" s="182" t="s">
        <v>1103</v>
      </c>
      <c r="K60" s="181" t="s">
        <v>1103</v>
      </c>
      <c r="L60" s="123">
        <f t="shared" si="1"/>
        <v>0.66666666666666663</v>
      </c>
      <c r="M60" s="281">
        <f t="shared" si="2"/>
        <v>0.20320000030886398</v>
      </c>
      <c r="N60" s="281">
        <f t="shared" si="0"/>
        <v>5.5806151659628496</v>
      </c>
      <c r="O60">
        <v>3.75</v>
      </c>
    </row>
    <row r="61" spans="2:15" x14ac:dyDescent="0.2">
      <c r="B61" s="18" t="s">
        <v>1471</v>
      </c>
      <c r="C61" s="20">
        <v>1.5</v>
      </c>
      <c r="D61" s="19">
        <v>0.1875</v>
      </c>
      <c r="E61" s="20">
        <v>2.375</v>
      </c>
      <c r="F61" s="19">
        <v>0.25</v>
      </c>
      <c r="G61" s="19">
        <v>0.6875</v>
      </c>
      <c r="H61" s="19">
        <v>0.25</v>
      </c>
      <c r="I61" s="184" t="s">
        <v>1103</v>
      </c>
      <c r="J61" s="185" t="s">
        <v>1103</v>
      </c>
      <c r="K61" s="184" t="s">
        <v>1103</v>
      </c>
      <c r="L61" s="123">
        <f t="shared" si="1"/>
        <v>0.64583333333333337</v>
      </c>
      <c r="M61" s="281">
        <f t="shared" si="2"/>
        <v>0.19685000029921204</v>
      </c>
      <c r="N61" s="281"/>
      <c r="O61">
        <v>2.85</v>
      </c>
    </row>
    <row r="62" spans="2:15" x14ac:dyDescent="0.2">
      <c r="B62" s="167" t="s">
        <v>899</v>
      </c>
      <c r="C62" s="168" t="s">
        <v>899</v>
      </c>
      <c r="D62" s="168" t="s">
        <v>899</v>
      </c>
      <c r="E62" s="168" t="s">
        <v>899</v>
      </c>
      <c r="F62" s="168" t="s">
        <v>899</v>
      </c>
      <c r="G62" s="168" t="s">
        <v>899</v>
      </c>
      <c r="H62" s="168" t="s">
        <v>899</v>
      </c>
      <c r="I62" s="168" t="s">
        <v>899</v>
      </c>
      <c r="J62" s="168" t="s">
        <v>899</v>
      </c>
      <c r="K62" s="166"/>
    </row>
    <row r="63" spans="2:15" x14ac:dyDescent="0.2">
      <c r="B63" s="166"/>
      <c r="C63" s="166"/>
      <c r="D63" s="166"/>
      <c r="E63" s="166"/>
      <c r="F63" s="166"/>
      <c r="G63" s="166"/>
      <c r="H63" s="166"/>
      <c r="I63" s="166"/>
      <c r="J63" s="166"/>
      <c r="K63" s="166"/>
    </row>
    <row r="64" spans="2:15" x14ac:dyDescent="0.2">
      <c r="B64" s="137"/>
      <c r="C64" s="137"/>
      <c r="D64" s="137"/>
      <c r="E64" s="137"/>
      <c r="F64" s="137"/>
      <c r="G64" s="137"/>
      <c r="H64" s="137"/>
      <c r="I64" s="137"/>
      <c r="J64" s="137"/>
      <c r="K64" s="137"/>
    </row>
    <row r="65" spans="2:11" x14ac:dyDescent="0.2">
      <c r="B65" s="137"/>
      <c r="C65" s="137"/>
      <c r="D65" s="137"/>
      <c r="E65" s="137"/>
      <c r="F65" s="137"/>
      <c r="G65" s="137"/>
      <c r="H65" s="137"/>
      <c r="I65" s="137"/>
      <c r="J65" s="137"/>
      <c r="K65" s="137"/>
    </row>
    <row r="66" spans="2:11" x14ac:dyDescent="0.2">
      <c r="B66" s="137"/>
      <c r="C66" s="137"/>
      <c r="D66" s="137"/>
      <c r="E66" s="137"/>
      <c r="F66" s="137"/>
      <c r="G66" s="137"/>
      <c r="H66" s="137"/>
      <c r="I66" s="137"/>
      <c r="J66" s="137"/>
      <c r="K66" s="137"/>
    </row>
    <row r="67" spans="2:11" x14ac:dyDescent="0.2">
      <c r="B67" s="137"/>
      <c r="C67" s="137"/>
      <c r="D67" s="137"/>
      <c r="E67" s="137"/>
      <c r="F67" s="137"/>
      <c r="G67" s="137"/>
      <c r="H67" s="137"/>
      <c r="I67" s="137"/>
      <c r="J67" s="137"/>
      <c r="K67" s="137"/>
    </row>
    <row r="68" spans="2:11" x14ac:dyDescent="0.2">
      <c r="B68" s="137"/>
      <c r="C68" s="137"/>
      <c r="D68" s="137"/>
      <c r="E68" s="137"/>
      <c r="F68" s="137"/>
      <c r="G68" s="137"/>
      <c r="H68" s="137"/>
      <c r="I68" s="137"/>
      <c r="J68" s="137"/>
      <c r="K68" s="137"/>
    </row>
    <row r="69" spans="2:11" x14ac:dyDescent="0.2">
      <c r="B69" s="137"/>
      <c r="C69" s="137"/>
      <c r="D69" s="137"/>
      <c r="E69" s="137"/>
      <c r="F69" s="137"/>
      <c r="G69" s="137"/>
      <c r="H69" s="137"/>
      <c r="I69" s="137"/>
      <c r="J69" s="137"/>
      <c r="K69" s="137"/>
    </row>
    <row r="70" spans="2:11" x14ac:dyDescent="0.2">
      <c r="B70" s="137"/>
      <c r="C70" s="137"/>
      <c r="D70" s="137"/>
      <c r="E70" s="137"/>
      <c r="F70" s="137"/>
      <c r="G70" s="137"/>
      <c r="H70" s="137"/>
      <c r="I70" s="137"/>
      <c r="J70" s="137"/>
      <c r="K70" s="137"/>
    </row>
    <row r="71" spans="2:11" x14ac:dyDescent="0.2">
      <c r="B71" s="137"/>
      <c r="C71" s="137"/>
      <c r="D71" s="137"/>
      <c r="E71" s="137"/>
      <c r="F71" s="137"/>
      <c r="G71" s="137"/>
      <c r="H71" s="137"/>
      <c r="I71" s="137"/>
      <c r="J71" s="137"/>
      <c r="K71" s="137"/>
    </row>
    <row r="72" spans="2:11" x14ac:dyDescent="0.2">
      <c r="B72" s="137"/>
      <c r="C72" s="137"/>
      <c r="D72" s="137"/>
      <c r="E72" s="137"/>
      <c r="F72" s="137"/>
      <c r="G72" s="137"/>
      <c r="H72" s="137"/>
      <c r="I72" s="137"/>
      <c r="J72" s="137"/>
      <c r="K72" s="137"/>
    </row>
    <row r="73" spans="2:11" x14ac:dyDescent="0.2">
      <c r="B73" s="137"/>
      <c r="C73" s="137"/>
      <c r="D73" s="137"/>
      <c r="E73" s="137"/>
      <c r="F73" s="137"/>
      <c r="G73" s="137"/>
      <c r="H73" s="137"/>
      <c r="I73" s="137"/>
      <c r="J73" s="137"/>
      <c r="K73" s="137"/>
    </row>
    <row r="74" spans="2:11" x14ac:dyDescent="0.2">
      <c r="B74" s="137"/>
      <c r="C74" s="137"/>
      <c r="D74" s="137"/>
      <c r="E74" s="137"/>
      <c r="F74" s="137"/>
      <c r="G74" s="137"/>
      <c r="H74" s="137"/>
      <c r="I74" s="137"/>
      <c r="J74" s="137"/>
      <c r="K74" s="137"/>
    </row>
    <row r="75" spans="2:11" x14ac:dyDescent="0.2">
      <c r="B75" s="137"/>
      <c r="C75" s="137"/>
      <c r="D75" s="137"/>
      <c r="E75" s="137"/>
      <c r="F75" s="137"/>
      <c r="G75" s="137"/>
      <c r="H75" s="137"/>
      <c r="I75" s="137"/>
      <c r="J75" s="137"/>
      <c r="K75" s="137"/>
    </row>
    <row r="76" spans="2:11" x14ac:dyDescent="0.2">
      <c r="B76" s="137"/>
      <c r="C76" s="137"/>
      <c r="D76" s="137"/>
      <c r="E76" s="137"/>
      <c r="F76" s="137"/>
      <c r="G76" s="137"/>
      <c r="H76" s="137"/>
      <c r="I76" s="137"/>
      <c r="J76" s="137"/>
      <c r="K76" s="137"/>
    </row>
    <row r="77" spans="2:11" x14ac:dyDescent="0.2">
      <c r="B77" s="137"/>
      <c r="C77" s="137"/>
      <c r="D77" s="137"/>
      <c r="E77" s="137"/>
      <c r="F77" s="137"/>
      <c r="G77" s="137"/>
      <c r="H77" s="137"/>
      <c r="I77" s="137"/>
      <c r="J77" s="137"/>
      <c r="K77" s="137"/>
    </row>
    <row r="78" spans="2:11" x14ac:dyDescent="0.2">
      <c r="B78" s="137"/>
      <c r="C78" s="137"/>
      <c r="D78" s="137"/>
      <c r="E78" s="137"/>
      <c r="F78" s="137"/>
      <c r="G78" s="137"/>
      <c r="H78" s="137"/>
      <c r="I78" s="137"/>
      <c r="J78" s="137"/>
      <c r="K78" s="137"/>
    </row>
    <row r="79" spans="2:11" x14ac:dyDescent="0.2">
      <c r="B79" s="137"/>
      <c r="C79" s="137"/>
      <c r="D79" s="137"/>
      <c r="E79" s="137"/>
      <c r="F79" s="137"/>
      <c r="G79" s="137"/>
      <c r="H79" s="137"/>
      <c r="I79" s="137"/>
      <c r="J79" s="137"/>
      <c r="K79" s="137"/>
    </row>
    <row r="80" spans="2:11" x14ac:dyDescent="0.2">
      <c r="B80" s="137"/>
      <c r="C80" s="137"/>
      <c r="D80" s="137"/>
      <c r="E80" s="137"/>
      <c r="F80" s="137"/>
      <c r="G80" s="137"/>
      <c r="H80" s="137"/>
      <c r="I80" s="137"/>
      <c r="J80" s="137"/>
      <c r="K80" s="137"/>
    </row>
    <row r="81" spans="2:11" x14ac:dyDescent="0.2">
      <c r="B81" s="137"/>
      <c r="C81" s="137"/>
      <c r="D81" s="137"/>
      <c r="E81" s="137"/>
      <c r="F81" s="137"/>
      <c r="G81" s="137"/>
      <c r="H81" s="137"/>
      <c r="I81" s="137"/>
      <c r="J81" s="137"/>
      <c r="K81" s="137"/>
    </row>
    <row r="82" spans="2:11" x14ac:dyDescent="0.2">
      <c r="B82" s="137"/>
      <c r="C82" s="137"/>
      <c r="D82" s="137"/>
      <c r="E82" s="137"/>
      <c r="F82" s="137"/>
      <c r="G82" s="137"/>
      <c r="H82" s="137"/>
      <c r="I82" s="137"/>
      <c r="J82" s="137"/>
      <c r="K82" s="137"/>
    </row>
    <row r="83" spans="2:11" x14ac:dyDescent="0.2">
      <c r="B83" s="137"/>
      <c r="C83" s="137"/>
      <c r="D83" s="137"/>
      <c r="E83" s="137"/>
      <c r="F83" s="137"/>
      <c r="G83" s="137"/>
      <c r="H83" s="137"/>
      <c r="I83" s="137"/>
      <c r="J83" s="137"/>
      <c r="K83" s="137"/>
    </row>
    <row r="84" spans="2:11" x14ac:dyDescent="0.2">
      <c r="B84" s="137"/>
      <c r="C84" s="137"/>
      <c r="D84" s="137"/>
      <c r="E84" s="137"/>
      <c r="F84" s="137"/>
      <c r="G84" s="137"/>
      <c r="H84" s="137"/>
      <c r="I84" s="137"/>
      <c r="J84" s="137"/>
      <c r="K84" s="137"/>
    </row>
    <row r="85" spans="2:11" x14ac:dyDescent="0.2">
      <c r="B85" s="137"/>
      <c r="C85" s="137"/>
      <c r="D85" s="137"/>
      <c r="E85" s="137"/>
      <c r="F85" s="137"/>
      <c r="G85" s="137"/>
      <c r="H85" s="137"/>
      <c r="I85" s="137"/>
      <c r="J85" s="137"/>
      <c r="K85" s="137"/>
    </row>
    <row r="86" spans="2:11" x14ac:dyDescent="0.2">
      <c r="B86" s="137"/>
      <c r="C86" s="137"/>
      <c r="D86" s="137"/>
      <c r="E86" s="137"/>
      <c r="F86" s="137"/>
      <c r="G86" s="137"/>
      <c r="H86" s="137"/>
      <c r="I86" s="137"/>
      <c r="J86" s="137"/>
      <c r="K86" s="137"/>
    </row>
    <row r="87" spans="2:11" x14ac:dyDescent="0.2">
      <c r="B87" s="137"/>
      <c r="C87" s="137"/>
      <c r="D87" s="137"/>
      <c r="E87" s="137"/>
      <c r="F87" s="137"/>
      <c r="G87" s="137"/>
      <c r="H87" s="137"/>
      <c r="I87" s="137"/>
      <c r="J87" s="137"/>
      <c r="K87" s="137"/>
    </row>
    <row r="88" spans="2:11" x14ac:dyDescent="0.2">
      <c r="B88" s="137"/>
      <c r="C88" s="137"/>
      <c r="D88" s="137"/>
      <c r="E88" s="137"/>
      <c r="F88" s="137"/>
      <c r="G88" s="137"/>
      <c r="H88" s="137"/>
      <c r="I88" s="137"/>
      <c r="J88" s="137"/>
      <c r="K88" s="137"/>
    </row>
    <row r="89" spans="2:11" x14ac:dyDescent="0.2">
      <c r="B89" s="137"/>
      <c r="C89" s="137"/>
      <c r="D89" s="137"/>
      <c r="E89" s="137"/>
      <c r="F89" s="137"/>
      <c r="G89" s="137"/>
      <c r="H89" s="137"/>
      <c r="I89" s="137"/>
      <c r="J89" s="137"/>
      <c r="K89" s="137"/>
    </row>
    <row r="90" spans="2:11" x14ac:dyDescent="0.2">
      <c r="B90" s="137"/>
      <c r="C90" s="137"/>
      <c r="D90" s="137"/>
      <c r="E90" s="137"/>
      <c r="F90" s="137"/>
      <c r="G90" s="137"/>
      <c r="H90" s="137"/>
      <c r="I90" s="137"/>
      <c r="J90" s="137"/>
      <c r="K90" s="137"/>
    </row>
    <row r="91" spans="2:11" x14ac:dyDescent="0.2">
      <c r="B91" s="137"/>
      <c r="C91" s="137"/>
      <c r="D91" s="137"/>
      <c r="E91" s="137"/>
      <c r="F91" s="137"/>
      <c r="G91" s="137"/>
      <c r="H91" s="137"/>
      <c r="I91" s="137"/>
      <c r="J91" s="137"/>
      <c r="K91" s="137"/>
    </row>
    <row r="92" spans="2:11" x14ac:dyDescent="0.2">
      <c r="B92" s="137"/>
      <c r="C92" s="137"/>
      <c r="D92" s="137"/>
      <c r="E92" s="137"/>
      <c r="F92" s="137"/>
      <c r="G92" s="137"/>
      <c r="H92" s="137"/>
      <c r="I92" s="137"/>
      <c r="J92" s="137"/>
      <c r="K92" s="137"/>
    </row>
    <row r="93" spans="2:11" x14ac:dyDescent="0.2">
      <c r="B93" s="137"/>
      <c r="C93" s="137"/>
      <c r="D93" s="137"/>
      <c r="E93" s="137"/>
      <c r="F93" s="137"/>
      <c r="G93" s="137"/>
      <c r="H93" s="137"/>
      <c r="I93" s="137"/>
      <c r="J93" s="137"/>
      <c r="K93" s="137"/>
    </row>
    <row r="94" spans="2:11" x14ac:dyDescent="0.2">
      <c r="B94" s="137"/>
      <c r="C94" s="137"/>
      <c r="D94" s="137"/>
      <c r="E94" s="137"/>
      <c r="F94" s="137"/>
      <c r="G94" s="137"/>
      <c r="H94" s="137"/>
      <c r="I94" s="137"/>
      <c r="J94" s="137"/>
      <c r="K94" s="137"/>
    </row>
    <row r="95" spans="2:11" x14ac:dyDescent="0.2">
      <c r="B95" s="137"/>
      <c r="C95" s="137"/>
      <c r="D95" s="137"/>
      <c r="E95" s="137"/>
      <c r="F95" s="137"/>
      <c r="G95" s="137"/>
      <c r="H95" s="137"/>
      <c r="I95" s="137"/>
      <c r="J95" s="137"/>
      <c r="K95" s="137"/>
    </row>
  </sheetData>
  <sheetProtection password="CDD2" sheet="1" objects="1" scenarios="1"/>
  <pageMargins left="0.75" right="0.75" top="1" bottom="1" header="0.5" footer="0.5"/>
  <pageSetup orientation="portrait" verticalDpi="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N253"/>
  <sheetViews>
    <sheetView showGridLines="0" zoomScale="95" workbookViewId="0">
      <pane xSplit="14" ySplit="18" topLeftCell="O19" activePane="bottomRight" state="frozen"/>
      <selection pane="topRight" activeCell="O1" sqref="O1"/>
      <selection pane="bottomLeft" activeCell="A19" sqref="A19"/>
      <selection pane="bottomRight" activeCell="A19" sqref="A19"/>
    </sheetView>
  </sheetViews>
  <sheetFormatPr defaultRowHeight="12.75" x14ac:dyDescent="0.2"/>
  <cols>
    <col min="2" max="2" width="10" customWidth="1"/>
    <col min="5" max="5" width="8.7109375" customWidth="1"/>
    <col min="6" max="6" width="11" customWidth="1"/>
    <col min="7" max="7" width="11.5703125" customWidth="1"/>
    <col min="8" max="8" width="10.42578125" customWidth="1"/>
    <col min="9" max="9" width="9.7109375" customWidth="1"/>
    <col min="13" max="13" width="12.140625" customWidth="1"/>
    <col min="14" max="14" width="11.5703125" customWidth="1"/>
  </cols>
  <sheetData>
    <row r="3" spans="2:9" x14ac:dyDescent="0.2">
      <c r="B3" s="116">
        <f ca="1">NOW()</f>
        <v>42899.605034722219</v>
      </c>
    </row>
    <row r="4" spans="2:9" x14ac:dyDescent="0.2">
      <c r="B4" s="117"/>
    </row>
    <row r="12" spans="2:9" ht="23.25" x14ac:dyDescent="0.35">
      <c r="B12" s="114" t="s">
        <v>1480</v>
      </c>
      <c r="H12" s="35" t="s">
        <v>1479</v>
      </c>
    </row>
    <row r="15" spans="2:9" ht="18.75" x14ac:dyDescent="0.3">
      <c r="B15" s="200" t="s">
        <v>1498</v>
      </c>
      <c r="F15" s="410"/>
      <c r="G15" s="166"/>
      <c r="H15" s="410"/>
      <c r="I15" s="201" t="s">
        <v>1499</v>
      </c>
    </row>
    <row r="16" spans="2:9" ht="13.5" thickBot="1" x14ac:dyDescent="0.25">
      <c r="F16" s="166"/>
      <c r="G16" s="166"/>
      <c r="H16" s="166"/>
    </row>
    <row r="17" spans="2:14" ht="15.75" x14ac:dyDescent="0.25">
      <c r="B17" s="59" t="s">
        <v>1481</v>
      </c>
      <c r="C17" s="60" t="s">
        <v>1482</v>
      </c>
      <c r="D17" s="61" t="s">
        <v>1484</v>
      </c>
      <c r="E17" s="61" t="s">
        <v>1484</v>
      </c>
      <c r="F17" s="60" t="s">
        <v>1795</v>
      </c>
      <c r="G17" s="60" t="s">
        <v>1795</v>
      </c>
      <c r="H17" s="411"/>
      <c r="I17" s="60" t="s">
        <v>1481</v>
      </c>
      <c r="J17" s="60" t="s">
        <v>1482</v>
      </c>
      <c r="K17" s="61" t="s">
        <v>1484</v>
      </c>
      <c r="L17" s="61" t="s">
        <v>1484</v>
      </c>
      <c r="M17" s="60" t="s">
        <v>1795</v>
      </c>
      <c r="N17" s="60" t="s">
        <v>1795</v>
      </c>
    </row>
    <row r="18" spans="2:14" ht="16.5" thickBot="1" x14ac:dyDescent="0.3">
      <c r="B18" s="127" t="s">
        <v>894</v>
      </c>
      <c r="C18" s="62" t="s">
        <v>1483</v>
      </c>
      <c r="D18" s="63" t="s">
        <v>1555</v>
      </c>
      <c r="E18" s="409" t="s">
        <v>1819</v>
      </c>
      <c r="F18" s="204" t="s">
        <v>1820</v>
      </c>
      <c r="G18" s="204" t="s">
        <v>1821</v>
      </c>
      <c r="H18" s="412"/>
      <c r="I18" s="128" t="s">
        <v>894</v>
      </c>
      <c r="J18" s="62" t="s">
        <v>1483</v>
      </c>
      <c r="K18" s="63" t="s">
        <v>1555</v>
      </c>
      <c r="L18" s="409" t="s">
        <v>1819</v>
      </c>
      <c r="M18" s="204" t="s">
        <v>1820</v>
      </c>
      <c r="N18" s="204" t="s">
        <v>1821</v>
      </c>
    </row>
    <row r="19" spans="2:14" x14ac:dyDescent="0.2">
      <c r="B19" s="57" t="s">
        <v>1485</v>
      </c>
      <c r="C19" s="64">
        <v>0.625</v>
      </c>
      <c r="D19" s="65">
        <v>127.37</v>
      </c>
      <c r="E19" s="423">
        <f>D19*3.2808399*0.4535924</f>
        <v>189.54745431698353</v>
      </c>
      <c r="F19" s="424">
        <f>16*4*12/144</f>
        <v>5.333333333333333</v>
      </c>
      <c r="G19" s="423">
        <f>(F19*3.2808399)*0.09290304</f>
        <v>1.6256000024709119</v>
      </c>
      <c r="H19" s="413"/>
      <c r="I19" s="414" t="s">
        <v>1500</v>
      </c>
      <c r="J19" s="170">
        <v>0.5</v>
      </c>
      <c r="K19" s="171">
        <v>103.3</v>
      </c>
      <c r="L19" s="423">
        <f>K19*3.2808399*0.4535924</f>
        <v>153.72734577172332</v>
      </c>
      <c r="M19" s="424">
        <f>(20*2+12*2)*12/144</f>
        <v>5.333333333333333</v>
      </c>
      <c r="N19" s="423">
        <f>(M19*3.2808399)*0.09290304</f>
        <v>1.6256000024709119</v>
      </c>
    </row>
    <row r="20" spans="2:14" x14ac:dyDescent="0.2">
      <c r="B20" s="169" t="s">
        <v>1485</v>
      </c>
      <c r="C20" s="170">
        <v>0.5</v>
      </c>
      <c r="D20" s="171">
        <v>103.3</v>
      </c>
      <c r="E20" s="425">
        <f>D20*3.2808399*0.4535924</f>
        <v>153.72734577172332</v>
      </c>
      <c r="F20" s="426">
        <f>16*4*12/144</f>
        <v>5.333333333333333</v>
      </c>
      <c r="G20" s="425">
        <f>(F20*3.2808399)*0.09290304</f>
        <v>1.6256000024709119</v>
      </c>
      <c r="H20" s="413"/>
      <c r="I20" s="415" t="s">
        <v>1500</v>
      </c>
      <c r="J20" s="16">
        <v>0.375</v>
      </c>
      <c r="K20" s="66">
        <v>78.52</v>
      </c>
      <c r="L20" s="425">
        <f>K20*3.2808399*0.4535924</f>
        <v>116.8506407550408</v>
      </c>
      <c r="M20" s="429">
        <f>(20*2+12*2)*12/144</f>
        <v>5.333333333333333</v>
      </c>
      <c r="N20" s="425">
        <f>(M20*3.2808399)*0.09290304</f>
        <v>1.6256000024709119</v>
      </c>
    </row>
    <row r="21" spans="2:14" x14ac:dyDescent="0.2">
      <c r="B21" s="58" t="s">
        <v>1485</v>
      </c>
      <c r="C21" s="16">
        <v>0.375</v>
      </c>
      <c r="D21" s="66">
        <v>78.52</v>
      </c>
      <c r="E21" s="425">
        <f t="shared" ref="E21:E84" si="0">D21*3.2808399*0.4535924</f>
        <v>116.8506407550408</v>
      </c>
      <c r="F21" s="426">
        <f>16*4*12/144</f>
        <v>5.333333333333333</v>
      </c>
      <c r="G21" s="425">
        <f t="shared" ref="G21:G84" si="1">(F21*3.2808399)*0.09290304</f>
        <v>1.6256000024709119</v>
      </c>
      <c r="H21" s="413"/>
      <c r="I21" s="415" t="s">
        <v>1500</v>
      </c>
      <c r="J21" s="16">
        <v>0.3125</v>
      </c>
      <c r="K21" s="66">
        <v>65.87</v>
      </c>
      <c r="L21" s="425">
        <f t="shared" ref="L21:L84" si="2">K21*3.2808399*0.4535924</f>
        <v>98.025365595192795</v>
      </c>
      <c r="M21" s="426">
        <f>(20*2+12*2)*12/144</f>
        <v>5.333333333333333</v>
      </c>
      <c r="N21" s="425">
        <f t="shared" ref="N21:N84" si="3">(M21*3.2808399)*0.09290304</f>
        <v>1.6256000024709119</v>
      </c>
    </row>
    <row r="22" spans="2:14" x14ac:dyDescent="0.2">
      <c r="B22" s="416" t="s">
        <v>1485</v>
      </c>
      <c r="C22" s="417">
        <v>0.3125</v>
      </c>
      <c r="D22" s="418">
        <v>65.87</v>
      </c>
      <c r="E22" s="427">
        <f t="shared" si="0"/>
        <v>98.025365595192795</v>
      </c>
      <c r="F22" s="426">
        <f>16*4*12/144</f>
        <v>5.333333333333333</v>
      </c>
      <c r="G22" s="425">
        <f t="shared" si="1"/>
        <v>1.6256000024709119</v>
      </c>
      <c r="H22" s="413"/>
      <c r="I22" s="67"/>
      <c r="J22" s="419"/>
      <c r="K22" s="420"/>
      <c r="L22" s="420"/>
      <c r="M22" s="420"/>
      <c r="N22" s="421"/>
    </row>
    <row r="23" spans="2:14" x14ac:dyDescent="0.2">
      <c r="B23" s="67"/>
      <c r="C23" s="419"/>
      <c r="D23" s="420"/>
      <c r="E23" s="420"/>
      <c r="F23" s="420"/>
      <c r="G23" s="421"/>
      <c r="H23" s="413"/>
      <c r="I23" s="415" t="s">
        <v>1501</v>
      </c>
      <c r="J23" s="16">
        <v>0.5</v>
      </c>
      <c r="K23" s="66">
        <v>89.68</v>
      </c>
      <c r="L23" s="425">
        <f t="shared" si="2"/>
        <v>133.45855148894626</v>
      </c>
      <c r="M23" s="426">
        <f>(20*2+8*2)*12/144</f>
        <v>4.666666666666667</v>
      </c>
      <c r="N23" s="425">
        <f t="shared" si="3"/>
        <v>1.4224000021620482</v>
      </c>
    </row>
    <row r="24" spans="2:14" x14ac:dyDescent="0.2">
      <c r="B24" s="169" t="s">
        <v>1486</v>
      </c>
      <c r="C24" s="170">
        <v>0.625</v>
      </c>
      <c r="D24" s="171">
        <v>110.36</v>
      </c>
      <c r="E24" s="428">
        <f t="shared" si="0"/>
        <v>164.23378392417604</v>
      </c>
      <c r="F24" s="426">
        <f>14*4*12/144</f>
        <v>4.666666666666667</v>
      </c>
      <c r="G24" s="425">
        <f t="shared" si="1"/>
        <v>1.4224000021620482</v>
      </c>
      <c r="H24" s="413"/>
      <c r="I24" s="415" t="s">
        <v>1501</v>
      </c>
      <c r="J24" s="16">
        <v>0.375</v>
      </c>
      <c r="K24" s="66">
        <v>68.31</v>
      </c>
      <c r="L24" s="425">
        <f t="shared" si="2"/>
        <v>101.65648586317928</v>
      </c>
      <c r="M24" s="426">
        <f>(20*2+8*2)*12/144</f>
        <v>4.666666666666667</v>
      </c>
      <c r="N24" s="425">
        <f t="shared" si="3"/>
        <v>1.4224000021620482</v>
      </c>
    </row>
    <row r="25" spans="2:14" x14ac:dyDescent="0.2">
      <c r="B25" s="58" t="s">
        <v>1486</v>
      </c>
      <c r="C25" s="16">
        <v>0.5</v>
      </c>
      <c r="D25" s="66">
        <v>89.68</v>
      </c>
      <c r="E25" s="428">
        <f t="shared" si="0"/>
        <v>133.45855148894626</v>
      </c>
      <c r="F25" s="426">
        <f>14*4*12/144</f>
        <v>4.666666666666667</v>
      </c>
      <c r="G25" s="425">
        <f t="shared" si="1"/>
        <v>1.4224000021620482</v>
      </c>
      <c r="H25" s="413"/>
      <c r="I25" s="415" t="s">
        <v>1501</v>
      </c>
      <c r="J25" s="16">
        <v>0.3125</v>
      </c>
      <c r="K25" s="66">
        <v>57.36</v>
      </c>
      <c r="L25" s="425">
        <f t="shared" si="2"/>
        <v>85.361089578567757</v>
      </c>
      <c r="M25" s="426">
        <f>(20*2+8*2)*12/144</f>
        <v>4.666666666666667</v>
      </c>
      <c r="N25" s="425">
        <f t="shared" si="3"/>
        <v>1.4224000021620482</v>
      </c>
    </row>
    <row r="26" spans="2:14" x14ac:dyDescent="0.2">
      <c r="B26" s="58" t="s">
        <v>1486</v>
      </c>
      <c r="C26" s="16">
        <v>0.375</v>
      </c>
      <c r="D26" s="66">
        <v>68.31</v>
      </c>
      <c r="E26" s="428">
        <f t="shared" si="0"/>
        <v>101.65648586317928</v>
      </c>
      <c r="F26" s="426">
        <f>14*4*12/144</f>
        <v>4.666666666666667</v>
      </c>
      <c r="G26" s="425">
        <f t="shared" si="1"/>
        <v>1.4224000021620482</v>
      </c>
      <c r="H26" s="413"/>
      <c r="I26" s="67"/>
      <c r="J26" s="419"/>
      <c r="K26" s="420"/>
      <c r="L26" s="420"/>
      <c r="M26" s="420"/>
      <c r="N26" s="421"/>
    </row>
    <row r="27" spans="2:14" x14ac:dyDescent="0.2">
      <c r="B27" s="58" t="s">
        <v>1486</v>
      </c>
      <c r="C27" s="16">
        <v>0.3125</v>
      </c>
      <c r="D27" s="66">
        <v>57.36</v>
      </c>
      <c r="E27" s="428">
        <f t="shared" si="0"/>
        <v>85.361089578567757</v>
      </c>
      <c r="F27" s="426">
        <f>14*4*12/144</f>
        <v>4.666666666666667</v>
      </c>
      <c r="G27" s="425">
        <f t="shared" si="1"/>
        <v>1.4224000021620482</v>
      </c>
      <c r="H27" s="413"/>
      <c r="I27" s="415" t="s">
        <v>1502</v>
      </c>
      <c r="J27" s="16">
        <v>0.5</v>
      </c>
      <c r="K27" s="66">
        <v>76.069999999999993</v>
      </c>
      <c r="L27" s="425">
        <f t="shared" si="2"/>
        <v>113.20463884661173</v>
      </c>
      <c r="M27" s="426">
        <f>(20*2+4*2)*12/144</f>
        <v>4</v>
      </c>
      <c r="N27" s="425">
        <f t="shared" si="3"/>
        <v>1.2192000018531841</v>
      </c>
    </row>
    <row r="28" spans="2:14" x14ac:dyDescent="0.2">
      <c r="B28" s="67"/>
      <c r="C28" s="419"/>
      <c r="D28" s="420"/>
      <c r="E28" s="420"/>
      <c r="F28" s="420"/>
      <c r="G28" s="421"/>
      <c r="H28" s="413"/>
      <c r="I28" s="415" t="s">
        <v>1502</v>
      </c>
      <c r="J28" s="16">
        <v>0.375</v>
      </c>
      <c r="K28" s="66">
        <v>58.1</v>
      </c>
      <c r="L28" s="425">
        <f t="shared" si="2"/>
        <v>86.462330971317769</v>
      </c>
      <c r="M28" s="426">
        <f>(20*2+4*2)*12/144</f>
        <v>4</v>
      </c>
      <c r="N28" s="425">
        <f t="shared" si="3"/>
        <v>1.2192000018531841</v>
      </c>
    </row>
    <row r="29" spans="2:14" x14ac:dyDescent="0.2">
      <c r="B29" s="58" t="s">
        <v>1487</v>
      </c>
      <c r="C29" s="16">
        <v>0.625</v>
      </c>
      <c r="D29" s="66">
        <v>93.34</v>
      </c>
      <c r="E29" s="428">
        <f t="shared" si="0"/>
        <v>138.90523189092599</v>
      </c>
      <c r="F29" s="426">
        <f t="shared" ref="F29:F34" si="4">12*4*12/144</f>
        <v>4</v>
      </c>
      <c r="G29" s="425">
        <f t="shared" si="1"/>
        <v>1.2192000018531841</v>
      </c>
      <c r="H29" s="413"/>
      <c r="I29" s="415" t="s">
        <v>1502</v>
      </c>
      <c r="J29" s="16">
        <v>0.3125</v>
      </c>
      <c r="K29" s="66">
        <v>48.86</v>
      </c>
      <c r="L29" s="425">
        <f t="shared" si="2"/>
        <v>72.7116952023853</v>
      </c>
      <c r="M29" s="426">
        <f>(20*2+4*2)*12/144</f>
        <v>4</v>
      </c>
      <c r="N29" s="425">
        <f t="shared" si="3"/>
        <v>1.2192000018531841</v>
      </c>
    </row>
    <row r="30" spans="2:14" x14ac:dyDescent="0.2">
      <c r="B30" s="58" t="s">
        <v>1487</v>
      </c>
      <c r="C30" s="16">
        <v>0.5</v>
      </c>
      <c r="D30" s="66">
        <v>76.069999999999993</v>
      </c>
      <c r="E30" s="428">
        <f t="shared" si="0"/>
        <v>113.20463884661173</v>
      </c>
      <c r="F30" s="426">
        <f t="shared" si="4"/>
        <v>4</v>
      </c>
      <c r="G30" s="425">
        <f t="shared" si="1"/>
        <v>1.2192000018531841</v>
      </c>
      <c r="H30" s="413"/>
      <c r="I30" s="67"/>
      <c r="J30" s="419"/>
      <c r="K30" s="420"/>
      <c r="L30" s="420"/>
      <c r="M30" s="420"/>
      <c r="N30" s="421"/>
    </row>
    <row r="31" spans="2:14" x14ac:dyDescent="0.2">
      <c r="B31" s="58" t="s">
        <v>1487</v>
      </c>
      <c r="C31" s="16">
        <v>0.375</v>
      </c>
      <c r="D31" s="66">
        <v>58.1</v>
      </c>
      <c r="E31" s="428">
        <f t="shared" si="0"/>
        <v>86.462330971317769</v>
      </c>
      <c r="F31" s="426">
        <f t="shared" si="4"/>
        <v>4</v>
      </c>
      <c r="G31" s="425">
        <f t="shared" si="1"/>
        <v>1.2192000018531841</v>
      </c>
      <c r="H31" s="413"/>
      <c r="I31" s="415" t="s">
        <v>1503</v>
      </c>
      <c r="J31" s="16">
        <v>0.5</v>
      </c>
      <c r="K31" s="66">
        <v>76.069999999999993</v>
      </c>
      <c r="L31" s="425">
        <f t="shared" si="2"/>
        <v>113.20463884661173</v>
      </c>
      <c r="M31" s="426">
        <f>(18*2+6*2)*12/144</f>
        <v>4</v>
      </c>
      <c r="N31" s="425">
        <f t="shared" si="3"/>
        <v>1.2192000018531841</v>
      </c>
    </row>
    <row r="32" spans="2:14" x14ac:dyDescent="0.2">
      <c r="B32" s="58" t="s">
        <v>1487</v>
      </c>
      <c r="C32" s="16">
        <v>0.3125</v>
      </c>
      <c r="D32" s="66">
        <v>48.86</v>
      </c>
      <c r="E32" s="428">
        <f t="shared" si="0"/>
        <v>72.7116952023853</v>
      </c>
      <c r="F32" s="426">
        <f t="shared" si="4"/>
        <v>4</v>
      </c>
      <c r="G32" s="425">
        <f t="shared" si="1"/>
        <v>1.2192000018531841</v>
      </c>
      <c r="H32" s="413"/>
      <c r="I32" s="415" t="s">
        <v>1503</v>
      </c>
      <c r="J32" s="16">
        <v>0.375</v>
      </c>
      <c r="K32" s="66">
        <v>58.1</v>
      </c>
      <c r="L32" s="425">
        <f t="shared" si="2"/>
        <v>86.462330971317769</v>
      </c>
      <c r="M32" s="426">
        <f>(18*2+6*2)*12/144</f>
        <v>4</v>
      </c>
      <c r="N32" s="425">
        <f t="shared" si="3"/>
        <v>1.2192000018531841</v>
      </c>
    </row>
    <row r="33" spans="2:14" x14ac:dyDescent="0.2">
      <c r="B33" s="58" t="s">
        <v>1487</v>
      </c>
      <c r="C33" s="16">
        <v>0.25</v>
      </c>
      <c r="D33" s="66">
        <v>39.43</v>
      </c>
      <c r="E33" s="428">
        <f t="shared" si="0"/>
        <v>58.678308265044052</v>
      </c>
      <c r="F33" s="426">
        <f t="shared" si="4"/>
        <v>4</v>
      </c>
      <c r="G33" s="425">
        <f t="shared" si="1"/>
        <v>1.2192000018531841</v>
      </c>
      <c r="H33" s="413"/>
      <c r="I33" s="415" t="s">
        <v>1503</v>
      </c>
      <c r="J33" s="16">
        <v>0.3125</v>
      </c>
      <c r="K33" s="66">
        <v>48.86</v>
      </c>
      <c r="L33" s="425">
        <f t="shared" si="2"/>
        <v>72.7116952023853</v>
      </c>
      <c r="M33" s="426">
        <f>(18*2+6*2)*12/144</f>
        <v>4</v>
      </c>
      <c r="N33" s="425">
        <f t="shared" si="3"/>
        <v>1.2192000018531841</v>
      </c>
    </row>
    <row r="34" spans="2:14" x14ac:dyDescent="0.2">
      <c r="B34" s="58" t="s">
        <v>1487</v>
      </c>
      <c r="C34" s="16">
        <v>0.1875</v>
      </c>
      <c r="D34" s="66">
        <v>29.84</v>
      </c>
      <c r="E34" s="428">
        <f t="shared" si="0"/>
        <v>44.406815080621719</v>
      </c>
      <c r="F34" s="426">
        <f t="shared" si="4"/>
        <v>4</v>
      </c>
      <c r="G34" s="425">
        <f t="shared" si="1"/>
        <v>1.2192000018531841</v>
      </c>
      <c r="H34" s="413"/>
      <c r="I34" s="67"/>
      <c r="J34" s="419"/>
      <c r="K34" s="420"/>
      <c r="L34" s="420"/>
      <c r="M34" s="420"/>
      <c r="N34" s="421"/>
    </row>
    <row r="35" spans="2:14" x14ac:dyDescent="0.2">
      <c r="B35" s="67"/>
      <c r="C35" s="419"/>
      <c r="D35" s="420"/>
      <c r="E35" s="420"/>
      <c r="F35" s="420"/>
      <c r="G35" s="421"/>
      <c r="H35" s="413"/>
      <c r="I35" s="415" t="s">
        <v>1504</v>
      </c>
      <c r="J35" s="16">
        <v>0.625</v>
      </c>
      <c r="K35" s="66">
        <v>110.36</v>
      </c>
      <c r="L35" s="425">
        <f t="shared" si="2"/>
        <v>164.23378392417604</v>
      </c>
      <c r="M35" s="426">
        <f>(16*2+12*2)*12/144</f>
        <v>4.666666666666667</v>
      </c>
      <c r="N35" s="425">
        <f t="shared" si="3"/>
        <v>1.4224000021620482</v>
      </c>
    </row>
    <row r="36" spans="2:14" x14ac:dyDescent="0.2">
      <c r="B36" s="58" t="s">
        <v>1488</v>
      </c>
      <c r="C36" s="16">
        <v>0.625</v>
      </c>
      <c r="D36" s="66">
        <v>76.33</v>
      </c>
      <c r="E36" s="428">
        <f t="shared" si="0"/>
        <v>113.59156149811849</v>
      </c>
      <c r="F36" s="426">
        <f>10*4*12/144</f>
        <v>3.3333333333333335</v>
      </c>
      <c r="G36" s="425">
        <f t="shared" si="1"/>
        <v>1.0160000015443202</v>
      </c>
      <c r="H36" s="413"/>
      <c r="I36" s="415" t="s">
        <v>1504</v>
      </c>
      <c r="J36" s="16">
        <v>0.5</v>
      </c>
      <c r="K36" s="66">
        <v>89.68</v>
      </c>
      <c r="L36" s="425">
        <f t="shared" si="2"/>
        <v>133.45855148894626</v>
      </c>
      <c r="M36" s="426">
        <f>(16*2+12*2)*12/144</f>
        <v>4.666666666666667</v>
      </c>
      <c r="N36" s="425">
        <f t="shared" si="3"/>
        <v>1.4224000021620482</v>
      </c>
    </row>
    <row r="37" spans="2:14" x14ac:dyDescent="0.2">
      <c r="B37" s="58" t="s">
        <v>1488</v>
      </c>
      <c r="C37" s="16">
        <v>0.5625</v>
      </c>
      <c r="D37" s="66">
        <v>69.48</v>
      </c>
      <c r="E37" s="428">
        <f t="shared" si="0"/>
        <v>103.39763779495969</v>
      </c>
      <c r="F37" s="426">
        <f t="shared" ref="F37:F42" si="5">10*4*12/144</f>
        <v>3.3333333333333335</v>
      </c>
      <c r="G37" s="425">
        <f t="shared" si="1"/>
        <v>1.0160000015443202</v>
      </c>
      <c r="H37" s="413"/>
      <c r="I37" s="415" t="s">
        <v>1504</v>
      </c>
      <c r="J37" s="16">
        <v>0.375</v>
      </c>
      <c r="K37" s="66">
        <v>68.31</v>
      </c>
      <c r="L37" s="425">
        <f t="shared" si="2"/>
        <v>101.65648586317928</v>
      </c>
      <c r="M37" s="426">
        <f>(16*2+12*2)*12/144</f>
        <v>4.666666666666667</v>
      </c>
      <c r="N37" s="425">
        <f t="shared" si="3"/>
        <v>1.4224000021620482</v>
      </c>
    </row>
    <row r="38" spans="2:14" x14ac:dyDescent="0.2">
      <c r="B38" s="58" t="s">
        <v>1488</v>
      </c>
      <c r="C38" s="16">
        <v>0.5</v>
      </c>
      <c r="D38" s="66">
        <v>62.46</v>
      </c>
      <c r="E38" s="428">
        <f t="shared" si="0"/>
        <v>92.950726204277231</v>
      </c>
      <c r="F38" s="426">
        <f t="shared" si="5"/>
        <v>3.3333333333333335</v>
      </c>
      <c r="G38" s="425">
        <f t="shared" si="1"/>
        <v>1.0160000015443202</v>
      </c>
      <c r="H38" s="413"/>
      <c r="I38" s="415" t="s">
        <v>1504</v>
      </c>
      <c r="J38" s="16">
        <v>0.3125</v>
      </c>
      <c r="K38" s="66">
        <v>57.36</v>
      </c>
      <c r="L38" s="425">
        <f t="shared" si="2"/>
        <v>85.361089578567757</v>
      </c>
      <c r="M38" s="426">
        <f>(16*2+12*2)*12/144</f>
        <v>4.666666666666667</v>
      </c>
      <c r="N38" s="425">
        <f t="shared" si="3"/>
        <v>1.4224000021620482</v>
      </c>
    </row>
    <row r="39" spans="2:14" x14ac:dyDescent="0.2">
      <c r="B39" s="58" t="s">
        <v>1488</v>
      </c>
      <c r="C39" s="16">
        <v>0.375</v>
      </c>
      <c r="D39" s="66">
        <v>47.9</v>
      </c>
      <c r="E39" s="428">
        <f t="shared" si="0"/>
        <v>71.283057719898807</v>
      </c>
      <c r="F39" s="426">
        <f t="shared" si="5"/>
        <v>3.3333333333333335</v>
      </c>
      <c r="G39" s="425">
        <f t="shared" si="1"/>
        <v>1.0160000015443202</v>
      </c>
      <c r="H39" s="413"/>
      <c r="I39" s="67"/>
      <c r="J39" s="419"/>
      <c r="K39" s="420"/>
      <c r="L39" s="420"/>
      <c r="M39" s="420"/>
      <c r="N39" s="421"/>
    </row>
    <row r="40" spans="2:14" x14ac:dyDescent="0.2">
      <c r="B40" s="58" t="s">
        <v>1488</v>
      </c>
      <c r="C40" s="16">
        <v>0.3125</v>
      </c>
      <c r="D40" s="66">
        <v>40.35</v>
      </c>
      <c r="E40" s="428">
        <f t="shared" si="0"/>
        <v>60.047419185760269</v>
      </c>
      <c r="F40" s="426">
        <f t="shared" si="5"/>
        <v>3.3333333333333335</v>
      </c>
      <c r="G40" s="425">
        <f t="shared" si="1"/>
        <v>1.0160000015443202</v>
      </c>
      <c r="H40" s="413"/>
      <c r="I40" s="415" t="s">
        <v>1505</v>
      </c>
      <c r="J40" s="16">
        <v>0.5</v>
      </c>
      <c r="K40" s="66">
        <v>76.069999999999993</v>
      </c>
      <c r="L40" s="425">
        <f t="shared" si="2"/>
        <v>113.20463884661173</v>
      </c>
      <c r="M40" s="426">
        <f>(16*2+8*2)*12/144</f>
        <v>4</v>
      </c>
      <c r="N40" s="425">
        <f t="shared" si="3"/>
        <v>1.2192000018531841</v>
      </c>
    </row>
    <row r="41" spans="2:14" x14ac:dyDescent="0.2">
      <c r="B41" s="58" t="s">
        <v>1488</v>
      </c>
      <c r="C41" s="16">
        <v>0.25</v>
      </c>
      <c r="D41" s="66">
        <v>32.630000000000003</v>
      </c>
      <c r="E41" s="428">
        <f t="shared" si="0"/>
        <v>48.558792764098079</v>
      </c>
      <c r="F41" s="426">
        <f t="shared" si="5"/>
        <v>3.3333333333333335</v>
      </c>
      <c r="G41" s="425">
        <f t="shared" si="1"/>
        <v>1.0160000015443202</v>
      </c>
      <c r="H41" s="413"/>
      <c r="I41" s="415" t="s">
        <v>1505</v>
      </c>
      <c r="J41" s="16">
        <v>0.375</v>
      </c>
      <c r="K41" s="66">
        <v>58.1</v>
      </c>
      <c r="L41" s="425">
        <f t="shared" si="2"/>
        <v>86.462330971317769</v>
      </c>
      <c r="M41" s="426">
        <f>(16*2+8*2)*12/144</f>
        <v>4</v>
      </c>
      <c r="N41" s="425">
        <f t="shared" si="3"/>
        <v>1.2192000018531841</v>
      </c>
    </row>
    <row r="42" spans="2:14" x14ac:dyDescent="0.2">
      <c r="B42" s="58" t="s">
        <v>1488</v>
      </c>
      <c r="C42" s="16">
        <v>0.1875</v>
      </c>
      <c r="D42" s="66">
        <v>24.73</v>
      </c>
      <c r="E42" s="428">
        <f t="shared" si="0"/>
        <v>36.802296814469678</v>
      </c>
      <c r="F42" s="426">
        <f t="shared" si="5"/>
        <v>3.3333333333333335</v>
      </c>
      <c r="G42" s="425">
        <f t="shared" si="1"/>
        <v>1.0160000015443202</v>
      </c>
      <c r="H42" s="413"/>
      <c r="I42" s="415" t="s">
        <v>1505</v>
      </c>
      <c r="J42" s="16">
        <v>0.3125</v>
      </c>
      <c r="K42" s="66">
        <v>48.86</v>
      </c>
      <c r="L42" s="425">
        <f t="shared" si="2"/>
        <v>72.7116952023853</v>
      </c>
      <c r="M42" s="426">
        <f>(16*2+8*2)*12/144</f>
        <v>4</v>
      </c>
      <c r="N42" s="425">
        <f t="shared" si="3"/>
        <v>1.2192000018531841</v>
      </c>
    </row>
    <row r="43" spans="2:14" x14ac:dyDescent="0.2">
      <c r="B43" s="67"/>
      <c r="C43" s="419"/>
      <c r="D43" s="420"/>
      <c r="E43" s="420"/>
      <c r="F43" s="420"/>
      <c r="G43" s="421"/>
      <c r="H43" s="413"/>
      <c r="I43" s="67"/>
      <c r="J43" s="419"/>
      <c r="K43" s="420"/>
      <c r="L43" s="420"/>
      <c r="M43" s="420"/>
      <c r="N43" s="421"/>
    </row>
    <row r="44" spans="2:14" x14ac:dyDescent="0.2">
      <c r="B44" s="58" t="s">
        <v>1686</v>
      </c>
      <c r="C44" s="16">
        <v>0.625</v>
      </c>
      <c r="D44" s="66">
        <v>67.819999999999993</v>
      </c>
      <c r="E44" s="428">
        <f t="shared" si="0"/>
        <v>100.92728548149346</v>
      </c>
      <c r="F44" s="426">
        <f>9*4*12/144</f>
        <v>3</v>
      </c>
      <c r="G44" s="425">
        <f t="shared" si="1"/>
        <v>0.91440000138988808</v>
      </c>
      <c r="H44" s="413"/>
      <c r="I44" s="415" t="s">
        <v>1506</v>
      </c>
      <c r="J44" s="16">
        <v>0.5</v>
      </c>
      <c r="K44" s="66">
        <v>62.46</v>
      </c>
      <c r="L44" s="425">
        <f t="shared" si="2"/>
        <v>92.950726204277231</v>
      </c>
      <c r="M44" s="426">
        <f>(16*2+4*2)*12/144</f>
        <v>3.3333333333333335</v>
      </c>
      <c r="N44" s="425">
        <f t="shared" si="3"/>
        <v>1.0160000015443202</v>
      </c>
    </row>
    <row r="45" spans="2:14" x14ac:dyDescent="0.2">
      <c r="B45" s="58" t="s">
        <v>1686</v>
      </c>
      <c r="C45" s="16">
        <v>0.5625</v>
      </c>
      <c r="D45" s="66">
        <v>61.83</v>
      </c>
      <c r="E45" s="428">
        <f t="shared" si="0"/>
        <v>92.013182856395474</v>
      </c>
      <c r="F45" s="426">
        <f t="shared" ref="F45:F50" si="6">9*4*12/144</f>
        <v>3</v>
      </c>
      <c r="G45" s="425">
        <f t="shared" si="1"/>
        <v>0.91440000138988808</v>
      </c>
      <c r="H45" s="413"/>
      <c r="I45" s="415" t="s">
        <v>1506</v>
      </c>
      <c r="J45" s="16">
        <v>0.375</v>
      </c>
      <c r="K45" s="66">
        <v>47.9</v>
      </c>
      <c r="L45" s="425">
        <f t="shared" si="2"/>
        <v>71.283057719898807</v>
      </c>
      <c r="M45" s="426">
        <f>(16*2+4*2)*12/144</f>
        <v>3.3333333333333335</v>
      </c>
      <c r="N45" s="425">
        <f t="shared" si="3"/>
        <v>1.0160000015443202</v>
      </c>
    </row>
    <row r="46" spans="2:14" x14ac:dyDescent="0.2">
      <c r="B46" s="58" t="s">
        <v>1686</v>
      </c>
      <c r="C46" s="16">
        <v>0.5</v>
      </c>
      <c r="D46" s="66">
        <v>55.66</v>
      </c>
      <c r="E46" s="428">
        <f t="shared" si="0"/>
        <v>82.831210703331251</v>
      </c>
      <c r="F46" s="426">
        <f t="shared" si="6"/>
        <v>3</v>
      </c>
      <c r="G46" s="425">
        <f t="shared" si="1"/>
        <v>0.91440000138988808</v>
      </c>
      <c r="H46" s="413"/>
      <c r="I46" s="415" t="s">
        <v>1506</v>
      </c>
      <c r="J46" s="16">
        <v>0.3125</v>
      </c>
      <c r="K46" s="66">
        <v>40.35</v>
      </c>
      <c r="L46" s="425">
        <f t="shared" si="2"/>
        <v>60.047419185760269</v>
      </c>
      <c r="M46" s="426">
        <f>(16*2+4*2)*12/144</f>
        <v>3.3333333333333335</v>
      </c>
      <c r="N46" s="425">
        <f t="shared" si="3"/>
        <v>1.0160000015443202</v>
      </c>
    </row>
    <row r="47" spans="2:14" x14ac:dyDescent="0.2">
      <c r="B47" s="58" t="s">
        <v>1686</v>
      </c>
      <c r="C47" s="16">
        <v>0.375</v>
      </c>
      <c r="D47" s="66">
        <v>42.79</v>
      </c>
      <c r="E47" s="428">
        <f t="shared" si="0"/>
        <v>63.678539453746765</v>
      </c>
      <c r="F47" s="426">
        <f t="shared" si="6"/>
        <v>3</v>
      </c>
      <c r="G47" s="425">
        <f t="shared" si="1"/>
        <v>0.91440000138988808</v>
      </c>
      <c r="H47" s="413"/>
      <c r="I47" s="67"/>
      <c r="J47" s="419"/>
      <c r="K47" s="420"/>
      <c r="L47" s="420"/>
      <c r="M47" s="420"/>
      <c r="N47" s="421"/>
    </row>
    <row r="48" spans="2:14" x14ac:dyDescent="0.2">
      <c r="B48" s="58" t="s">
        <v>1686</v>
      </c>
      <c r="C48" s="16">
        <v>0.3125</v>
      </c>
      <c r="D48" s="66">
        <v>36.1</v>
      </c>
      <c r="E48" s="428">
        <f t="shared" si="0"/>
        <v>53.722721997669041</v>
      </c>
      <c r="F48" s="426">
        <f t="shared" si="6"/>
        <v>3</v>
      </c>
      <c r="G48" s="425">
        <f t="shared" si="1"/>
        <v>0.91440000138988808</v>
      </c>
      <c r="H48" s="413"/>
      <c r="I48" s="415" t="s">
        <v>1507</v>
      </c>
      <c r="J48" s="16">
        <v>0.625</v>
      </c>
      <c r="K48" s="66">
        <v>93.34</v>
      </c>
      <c r="L48" s="425">
        <f t="shared" si="2"/>
        <v>138.90523189092599</v>
      </c>
      <c r="M48" s="426">
        <f>(14*2+10*2)*12/144</f>
        <v>4</v>
      </c>
      <c r="N48" s="425">
        <f t="shared" si="3"/>
        <v>1.2192000018531841</v>
      </c>
    </row>
    <row r="49" spans="2:14" x14ac:dyDescent="0.2">
      <c r="B49" s="58" t="s">
        <v>1686</v>
      </c>
      <c r="C49" s="16">
        <v>0.25</v>
      </c>
      <c r="D49" s="66">
        <v>29.23</v>
      </c>
      <c r="E49" s="428">
        <f t="shared" si="0"/>
        <v>43.499035013625104</v>
      </c>
      <c r="F49" s="426">
        <f t="shared" si="6"/>
        <v>3</v>
      </c>
      <c r="G49" s="425">
        <f t="shared" si="1"/>
        <v>0.91440000138988808</v>
      </c>
      <c r="H49" s="413"/>
      <c r="I49" s="415" t="s">
        <v>1507</v>
      </c>
      <c r="J49" s="16">
        <v>0.5</v>
      </c>
      <c r="K49" s="66">
        <v>76.069999999999993</v>
      </c>
      <c r="L49" s="425">
        <f t="shared" si="2"/>
        <v>113.20463884661173</v>
      </c>
      <c r="M49" s="426">
        <f>(14*2+10*2)*12/144</f>
        <v>4</v>
      </c>
      <c r="N49" s="425">
        <f t="shared" si="3"/>
        <v>1.2192000018531841</v>
      </c>
    </row>
    <row r="50" spans="2:14" x14ac:dyDescent="0.2">
      <c r="B50" s="58" t="s">
        <v>1686</v>
      </c>
      <c r="C50" s="16">
        <v>0.1875</v>
      </c>
      <c r="D50" s="66">
        <v>22.18</v>
      </c>
      <c r="E50" s="428">
        <f t="shared" si="0"/>
        <v>33.007478501614941</v>
      </c>
      <c r="F50" s="426">
        <f t="shared" si="6"/>
        <v>3</v>
      </c>
      <c r="G50" s="425">
        <f t="shared" si="1"/>
        <v>0.91440000138988808</v>
      </c>
      <c r="H50" s="413"/>
      <c r="I50" s="415" t="s">
        <v>1507</v>
      </c>
      <c r="J50" s="16">
        <v>0.375</v>
      </c>
      <c r="K50" s="66">
        <v>58.1</v>
      </c>
      <c r="L50" s="425">
        <f t="shared" si="2"/>
        <v>86.462330971317769</v>
      </c>
      <c r="M50" s="426">
        <f>(14*2+10*2)*12/144</f>
        <v>4</v>
      </c>
      <c r="N50" s="425">
        <f t="shared" si="3"/>
        <v>1.2192000018531841</v>
      </c>
    </row>
    <row r="51" spans="2:14" x14ac:dyDescent="0.2">
      <c r="B51" s="67"/>
      <c r="C51" s="419"/>
      <c r="D51" s="420"/>
      <c r="E51" s="420"/>
      <c r="F51" s="420"/>
      <c r="G51" s="421"/>
      <c r="H51" s="413"/>
      <c r="I51" s="415" t="s">
        <v>1507</v>
      </c>
      <c r="J51" s="16">
        <v>0.3125</v>
      </c>
      <c r="K51" s="66">
        <v>48.86</v>
      </c>
      <c r="L51" s="425">
        <f t="shared" si="2"/>
        <v>72.7116952023853</v>
      </c>
      <c r="M51" s="426">
        <f>(14*2+10*2)*12/144</f>
        <v>4</v>
      </c>
      <c r="N51" s="425">
        <f t="shared" si="3"/>
        <v>1.2192000018531841</v>
      </c>
    </row>
    <row r="52" spans="2:14" x14ac:dyDescent="0.2">
      <c r="B52" s="58" t="s">
        <v>1489</v>
      </c>
      <c r="C52" s="16">
        <v>0.625</v>
      </c>
      <c r="D52" s="66">
        <v>59.32</v>
      </c>
      <c r="E52" s="428">
        <f t="shared" si="0"/>
        <v>88.277891105311014</v>
      </c>
      <c r="F52" s="426">
        <f>8*4*12/144</f>
        <v>2.6666666666666665</v>
      </c>
      <c r="G52" s="425">
        <f t="shared" si="1"/>
        <v>0.81280000123545593</v>
      </c>
      <c r="H52" s="413"/>
      <c r="I52" s="67"/>
      <c r="J52" s="419"/>
      <c r="K52" s="420"/>
      <c r="L52" s="420"/>
      <c r="M52" s="420"/>
      <c r="N52" s="421"/>
    </row>
    <row r="53" spans="2:14" x14ac:dyDescent="0.2">
      <c r="B53" s="58" t="s">
        <v>1489</v>
      </c>
      <c r="C53" s="16">
        <v>0.5625</v>
      </c>
      <c r="D53" s="66">
        <v>54.17</v>
      </c>
      <c r="E53" s="428">
        <f t="shared" si="0"/>
        <v>80.613846277388689</v>
      </c>
      <c r="F53" s="426">
        <f t="shared" ref="F53:F58" si="7">8*4*12/144</f>
        <v>2.6666666666666665</v>
      </c>
      <c r="G53" s="425">
        <f t="shared" si="1"/>
        <v>0.81280000123545593</v>
      </c>
      <c r="H53" s="413"/>
      <c r="I53" s="415" t="s">
        <v>1508</v>
      </c>
      <c r="J53" s="16">
        <v>0.5</v>
      </c>
      <c r="K53" s="66">
        <v>62.46</v>
      </c>
      <c r="L53" s="425">
        <f t="shared" si="2"/>
        <v>92.950726204277231</v>
      </c>
      <c r="M53" s="426">
        <f>(14*2+6*2)*12/144</f>
        <v>3.3333333333333335</v>
      </c>
      <c r="N53" s="425">
        <f t="shared" si="3"/>
        <v>1.0160000015443202</v>
      </c>
    </row>
    <row r="54" spans="2:14" x14ac:dyDescent="0.2">
      <c r="B54" s="58" t="s">
        <v>1489</v>
      </c>
      <c r="C54" s="16">
        <v>0.5</v>
      </c>
      <c r="D54" s="66">
        <v>48.85</v>
      </c>
      <c r="E54" s="428">
        <f t="shared" si="0"/>
        <v>72.696813561942733</v>
      </c>
      <c r="F54" s="426">
        <f t="shared" si="7"/>
        <v>2.6666666666666665</v>
      </c>
      <c r="G54" s="425">
        <f t="shared" si="1"/>
        <v>0.81280000123545593</v>
      </c>
      <c r="H54" s="413"/>
      <c r="I54" s="415" t="s">
        <v>1508</v>
      </c>
      <c r="J54" s="16">
        <v>0.375</v>
      </c>
      <c r="K54" s="66">
        <v>47.9</v>
      </c>
      <c r="L54" s="425">
        <f t="shared" si="2"/>
        <v>71.283057719898807</v>
      </c>
      <c r="M54" s="426">
        <f>(14*2+6*2)*12/144</f>
        <v>3.3333333333333335</v>
      </c>
      <c r="N54" s="425">
        <f t="shared" si="3"/>
        <v>1.0160000015443202</v>
      </c>
    </row>
    <row r="55" spans="2:14" x14ac:dyDescent="0.2">
      <c r="B55" s="58" t="s">
        <v>1489</v>
      </c>
      <c r="C55" s="16">
        <v>0.375</v>
      </c>
      <c r="D55" s="66">
        <v>37.69</v>
      </c>
      <c r="E55" s="428">
        <f t="shared" si="0"/>
        <v>56.088902828037284</v>
      </c>
      <c r="F55" s="426">
        <f t="shared" si="7"/>
        <v>2.6666666666666665</v>
      </c>
      <c r="G55" s="425">
        <f t="shared" si="1"/>
        <v>0.81280000123545593</v>
      </c>
      <c r="H55" s="413"/>
      <c r="I55" s="415" t="s">
        <v>1508</v>
      </c>
      <c r="J55" s="16">
        <v>0.3125</v>
      </c>
      <c r="K55" s="66">
        <v>40.35</v>
      </c>
      <c r="L55" s="425">
        <f t="shared" si="2"/>
        <v>60.047419185760269</v>
      </c>
      <c r="M55" s="426">
        <f>(14*2+6*2)*12/144</f>
        <v>3.3333333333333335</v>
      </c>
      <c r="N55" s="425">
        <f t="shared" si="3"/>
        <v>1.0160000015443202</v>
      </c>
    </row>
    <row r="56" spans="2:14" x14ac:dyDescent="0.2">
      <c r="B56" s="58" t="s">
        <v>1489</v>
      </c>
      <c r="C56" s="16">
        <v>0.3125</v>
      </c>
      <c r="D56" s="66">
        <v>31.84</v>
      </c>
      <c r="E56" s="428">
        <f t="shared" si="0"/>
        <v>47.383143169135238</v>
      </c>
      <c r="F56" s="426">
        <f t="shared" si="7"/>
        <v>2.6666666666666665</v>
      </c>
      <c r="G56" s="425">
        <f t="shared" si="1"/>
        <v>0.81280000123545593</v>
      </c>
      <c r="H56" s="413"/>
      <c r="I56" s="415" t="s">
        <v>1508</v>
      </c>
      <c r="J56" s="16">
        <v>0.25</v>
      </c>
      <c r="K56" s="66">
        <v>32.630000000000003</v>
      </c>
      <c r="L56" s="425">
        <f t="shared" si="2"/>
        <v>48.558792764098079</v>
      </c>
      <c r="M56" s="426">
        <f>(14*2+6*2)*12/144</f>
        <v>3.3333333333333335</v>
      </c>
      <c r="N56" s="425">
        <f t="shared" si="3"/>
        <v>1.0160000015443202</v>
      </c>
    </row>
    <row r="57" spans="2:14" x14ac:dyDescent="0.2">
      <c r="B57" s="58" t="s">
        <v>1489</v>
      </c>
      <c r="C57" s="16">
        <v>0.25</v>
      </c>
      <c r="D57" s="66">
        <v>25.82</v>
      </c>
      <c r="E57" s="428">
        <f t="shared" si="0"/>
        <v>38.42439562270954</v>
      </c>
      <c r="F57" s="426">
        <f t="shared" si="7"/>
        <v>2.6666666666666665</v>
      </c>
      <c r="G57" s="425">
        <f t="shared" si="1"/>
        <v>0.81280000123545593</v>
      </c>
      <c r="H57" s="413"/>
      <c r="I57" s="67"/>
      <c r="J57" s="419"/>
      <c r="K57" s="420"/>
      <c r="L57" s="420"/>
      <c r="M57" s="420"/>
      <c r="N57" s="421"/>
    </row>
    <row r="58" spans="2:14" x14ac:dyDescent="0.2">
      <c r="B58" s="58" t="s">
        <v>1489</v>
      </c>
      <c r="C58" s="16">
        <v>0.1875</v>
      </c>
      <c r="D58" s="66">
        <v>19.63</v>
      </c>
      <c r="E58" s="428">
        <f t="shared" si="0"/>
        <v>29.2126601887602</v>
      </c>
      <c r="F58" s="426">
        <f t="shared" si="7"/>
        <v>2.6666666666666665</v>
      </c>
      <c r="G58" s="425">
        <f t="shared" si="1"/>
        <v>0.81280000123545593</v>
      </c>
      <c r="H58" s="413"/>
      <c r="I58" s="415" t="s">
        <v>1509</v>
      </c>
      <c r="J58" s="16">
        <v>0.5</v>
      </c>
      <c r="K58" s="66">
        <v>55.66</v>
      </c>
      <c r="L58" s="425">
        <f t="shared" si="2"/>
        <v>82.831210703331251</v>
      </c>
      <c r="M58" s="426">
        <f>(14*2+4*2)*12/144</f>
        <v>3</v>
      </c>
      <c r="N58" s="425">
        <f t="shared" si="3"/>
        <v>0.91440000138988808</v>
      </c>
    </row>
    <row r="59" spans="2:14" x14ac:dyDescent="0.2">
      <c r="B59" s="67"/>
      <c r="C59" s="419"/>
      <c r="D59" s="420"/>
      <c r="E59" s="420"/>
      <c r="F59" s="420"/>
      <c r="G59" s="421"/>
      <c r="H59" s="413"/>
      <c r="I59" s="415" t="s">
        <v>1509</v>
      </c>
      <c r="J59" s="16">
        <v>0.375</v>
      </c>
      <c r="K59" s="66">
        <v>42.79</v>
      </c>
      <c r="L59" s="425">
        <f t="shared" si="2"/>
        <v>63.678539453746765</v>
      </c>
      <c r="M59" s="426">
        <f>(14*2+4*2)*12/144</f>
        <v>3</v>
      </c>
      <c r="N59" s="425">
        <f t="shared" si="3"/>
        <v>0.91440000138988808</v>
      </c>
    </row>
    <row r="60" spans="2:14" x14ac:dyDescent="0.2">
      <c r="B60" s="58" t="s">
        <v>1490</v>
      </c>
      <c r="C60" s="16">
        <v>0.5625</v>
      </c>
      <c r="D60" s="66">
        <v>46.51</v>
      </c>
      <c r="E60" s="428">
        <f t="shared" si="0"/>
        <v>69.214509698381903</v>
      </c>
      <c r="F60" s="426">
        <f t="shared" ref="F60:F65" si="8">7*4*12/144</f>
        <v>2.3333333333333335</v>
      </c>
      <c r="G60" s="425">
        <f t="shared" si="1"/>
        <v>0.7112000010810241</v>
      </c>
      <c r="H60" s="413"/>
      <c r="I60" s="415" t="s">
        <v>1509</v>
      </c>
      <c r="J60" s="16">
        <v>0.3125</v>
      </c>
      <c r="K60" s="66">
        <v>36.1</v>
      </c>
      <c r="L60" s="425">
        <f t="shared" si="2"/>
        <v>53.722721997669041</v>
      </c>
      <c r="M60" s="426">
        <f>(14*2+4*2)*12/144</f>
        <v>3</v>
      </c>
      <c r="N60" s="425">
        <f t="shared" si="3"/>
        <v>0.91440000138988808</v>
      </c>
    </row>
    <row r="61" spans="2:14" x14ac:dyDescent="0.2">
      <c r="B61" s="58" t="s">
        <v>1490</v>
      </c>
      <c r="C61" s="16">
        <v>0.5</v>
      </c>
      <c r="D61" s="66">
        <v>42.05</v>
      </c>
      <c r="E61" s="428">
        <f t="shared" si="0"/>
        <v>62.57729806099676</v>
      </c>
      <c r="F61" s="426">
        <f t="shared" si="8"/>
        <v>2.3333333333333335</v>
      </c>
      <c r="G61" s="425">
        <f t="shared" si="1"/>
        <v>0.7112000010810241</v>
      </c>
      <c r="H61" s="413"/>
      <c r="I61" s="415" t="s">
        <v>1509</v>
      </c>
      <c r="J61" s="16">
        <v>0.25</v>
      </c>
      <c r="K61" s="66">
        <v>29.23</v>
      </c>
      <c r="L61" s="425">
        <f t="shared" si="2"/>
        <v>43.499035013625104</v>
      </c>
      <c r="M61" s="426">
        <f>(14*2+4*2)*12/144</f>
        <v>3</v>
      </c>
      <c r="N61" s="425">
        <f t="shared" si="3"/>
        <v>0.91440000138988808</v>
      </c>
    </row>
    <row r="62" spans="2:14" x14ac:dyDescent="0.2">
      <c r="B62" s="58" t="s">
        <v>1490</v>
      </c>
      <c r="C62" s="16">
        <v>0.375</v>
      </c>
      <c r="D62" s="66">
        <v>32.58</v>
      </c>
      <c r="E62" s="428">
        <f t="shared" si="0"/>
        <v>48.484384561885243</v>
      </c>
      <c r="F62" s="426">
        <f t="shared" si="8"/>
        <v>2.3333333333333335</v>
      </c>
      <c r="G62" s="425">
        <f t="shared" si="1"/>
        <v>0.7112000010810241</v>
      </c>
      <c r="H62" s="413"/>
      <c r="I62" s="67"/>
      <c r="J62" s="419"/>
      <c r="K62" s="420"/>
      <c r="L62" s="420"/>
      <c r="M62" s="420"/>
      <c r="N62" s="421"/>
    </row>
    <row r="63" spans="2:14" x14ac:dyDescent="0.2">
      <c r="B63" s="58" t="s">
        <v>1490</v>
      </c>
      <c r="C63" s="16">
        <v>0.3125</v>
      </c>
      <c r="D63" s="66">
        <v>27.59</v>
      </c>
      <c r="E63" s="428">
        <f t="shared" si="0"/>
        <v>41.058445981044009</v>
      </c>
      <c r="F63" s="426">
        <f t="shared" si="8"/>
        <v>2.3333333333333335</v>
      </c>
      <c r="G63" s="425">
        <f t="shared" si="1"/>
        <v>0.7112000010810241</v>
      </c>
      <c r="H63" s="413"/>
      <c r="I63" s="415" t="s">
        <v>1510</v>
      </c>
      <c r="J63" s="16">
        <v>0.625</v>
      </c>
      <c r="K63" s="66">
        <v>76.33</v>
      </c>
      <c r="L63" s="425">
        <f t="shared" si="2"/>
        <v>113.59156149811849</v>
      </c>
      <c r="M63" s="426">
        <f>(12*2+8*2)*12/144</f>
        <v>3.3333333333333335</v>
      </c>
      <c r="N63" s="425">
        <f t="shared" si="3"/>
        <v>1.0160000015443202</v>
      </c>
    </row>
    <row r="64" spans="2:14" x14ac:dyDescent="0.2">
      <c r="B64" s="58" t="s">
        <v>1490</v>
      </c>
      <c r="C64" s="16">
        <v>0.25</v>
      </c>
      <c r="D64" s="66">
        <v>22.42</v>
      </c>
      <c r="E64" s="428">
        <f t="shared" si="0"/>
        <v>33.364637872236564</v>
      </c>
      <c r="F64" s="426">
        <f t="shared" si="8"/>
        <v>2.3333333333333335</v>
      </c>
      <c r="G64" s="425">
        <f t="shared" si="1"/>
        <v>0.7112000010810241</v>
      </c>
      <c r="H64" s="413"/>
      <c r="I64" s="415" t="s">
        <v>1510</v>
      </c>
      <c r="J64" s="16">
        <v>0.5625</v>
      </c>
      <c r="K64" s="66">
        <v>69.48</v>
      </c>
      <c r="L64" s="425">
        <f t="shared" si="2"/>
        <v>103.39763779495969</v>
      </c>
      <c r="M64" s="426">
        <f t="shared" ref="M64:M69" si="9">(12*2+8*2)*12/144</f>
        <v>3.3333333333333335</v>
      </c>
      <c r="N64" s="425">
        <f t="shared" si="3"/>
        <v>1.0160000015443202</v>
      </c>
    </row>
    <row r="65" spans="2:14" x14ac:dyDescent="0.2">
      <c r="B65" s="58" t="s">
        <v>1490</v>
      </c>
      <c r="C65" s="16">
        <v>0.1875</v>
      </c>
      <c r="D65" s="66">
        <v>17.079999999999998</v>
      </c>
      <c r="E65" s="428">
        <f t="shared" si="0"/>
        <v>25.417841875905459</v>
      </c>
      <c r="F65" s="426">
        <f t="shared" si="8"/>
        <v>2.3333333333333335</v>
      </c>
      <c r="G65" s="425">
        <f t="shared" si="1"/>
        <v>0.7112000010810241</v>
      </c>
      <c r="H65" s="413"/>
      <c r="I65" s="415" t="s">
        <v>1510</v>
      </c>
      <c r="J65" s="16">
        <v>0.5</v>
      </c>
      <c r="K65" s="66">
        <v>62.46</v>
      </c>
      <c r="L65" s="425">
        <f t="shared" si="2"/>
        <v>92.950726204277231</v>
      </c>
      <c r="M65" s="426">
        <f t="shared" si="9"/>
        <v>3.3333333333333335</v>
      </c>
      <c r="N65" s="425">
        <f t="shared" si="3"/>
        <v>1.0160000015443202</v>
      </c>
    </row>
    <row r="66" spans="2:14" x14ac:dyDescent="0.2">
      <c r="B66" s="67"/>
      <c r="C66" s="419"/>
      <c r="D66" s="420"/>
      <c r="E66" s="420"/>
      <c r="F66" s="420"/>
      <c r="G66" s="421"/>
      <c r="H66" s="413"/>
      <c r="I66" s="415" t="s">
        <v>1510</v>
      </c>
      <c r="J66" s="16">
        <v>0.375</v>
      </c>
      <c r="K66" s="66">
        <v>47.9</v>
      </c>
      <c r="L66" s="425">
        <f t="shared" si="2"/>
        <v>71.283057719898807</v>
      </c>
      <c r="M66" s="426">
        <f t="shared" si="9"/>
        <v>3.3333333333333335</v>
      </c>
      <c r="N66" s="425">
        <f t="shared" si="3"/>
        <v>1.0160000015443202</v>
      </c>
    </row>
    <row r="67" spans="2:14" x14ac:dyDescent="0.2">
      <c r="B67" s="58" t="s">
        <v>1491</v>
      </c>
      <c r="C67" s="16">
        <v>0.5625</v>
      </c>
      <c r="D67" s="66">
        <v>38.86</v>
      </c>
      <c r="E67" s="428">
        <f t="shared" si="0"/>
        <v>57.830054759817699</v>
      </c>
      <c r="F67" s="426">
        <f t="shared" ref="F67:F72" si="10">6*4*12/144</f>
        <v>2</v>
      </c>
      <c r="G67" s="425">
        <f t="shared" si="1"/>
        <v>0.60960000092659206</v>
      </c>
      <c r="H67" s="413"/>
      <c r="I67" s="415" t="s">
        <v>1510</v>
      </c>
      <c r="J67" s="16">
        <v>0.3125</v>
      </c>
      <c r="K67" s="66">
        <v>40.35</v>
      </c>
      <c r="L67" s="425">
        <f t="shared" si="2"/>
        <v>60.047419185760269</v>
      </c>
      <c r="M67" s="426">
        <f t="shared" si="9"/>
        <v>3.3333333333333335</v>
      </c>
      <c r="N67" s="425">
        <f t="shared" si="3"/>
        <v>1.0160000015443202</v>
      </c>
    </row>
    <row r="68" spans="2:14" x14ac:dyDescent="0.2">
      <c r="B68" s="58" t="s">
        <v>1491</v>
      </c>
      <c r="C68" s="16">
        <v>0.5</v>
      </c>
      <c r="D68" s="66">
        <v>35.24</v>
      </c>
      <c r="E68" s="428">
        <f t="shared" si="0"/>
        <v>52.442900919608228</v>
      </c>
      <c r="F68" s="426">
        <f t="shared" si="10"/>
        <v>2</v>
      </c>
      <c r="G68" s="425">
        <f t="shared" si="1"/>
        <v>0.60960000092659206</v>
      </c>
      <c r="H68" s="413"/>
      <c r="I68" s="415" t="s">
        <v>1510</v>
      </c>
      <c r="J68" s="16">
        <v>0.25</v>
      </c>
      <c r="K68" s="66">
        <v>32.630000000000003</v>
      </c>
      <c r="L68" s="425">
        <f t="shared" si="2"/>
        <v>48.558792764098079</v>
      </c>
      <c r="M68" s="426">
        <f t="shared" si="9"/>
        <v>3.3333333333333335</v>
      </c>
      <c r="N68" s="425">
        <f t="shared" si="3"/>
        <v>1.0160000015443202</v>
      </c>
    </row>
    <row r="69" spans="2:14" x14ac:dyDescent="0.2">
      <c r="B69" s="58" t="s">
        <v>1491</v>
      </c>
      <c r="C69" s="16">
        <v>0.375</v>
      </c>
      <c r="D69" s="66">
        <v>27.48</v>
      </c>
      <c r="E69" s="428">
        <f t="shared" si="0"/>
        <v>40.894747936175769</v>
      </c>
      <c r="F69" s="426">
        <f t="shared" si="10"/>
        <v>2</v>
      </c>
      <c r="G69" s="425">
        <f t="shared" si="1"/>
        <v>0.60960000092659206</v>
      </c>
      <c r="H69" s="413"/>
      <c r="I69" s="415" t="s">
        <v>1510</v>
      </c>
      <c r="J69" s="16">
        <v>0.1875</v>
      </c>
      <c r="K69" s="66">
        <v>24.73</v>
      </c>
      <c r="L69" s="425">
        <f t="shared" si="2"/>
        <v>36.802296814469678</v>
      </c>
      <c r="M69" s="426">
        <f t="shared" si="9"/>
        <v>3.3333333333333335</v>
      </c>
      <c r="N69" s="425">
        <f t="shared" si="3"/>
        <v>1.0160000015443202</v>
      </c>
    </row>
    <row r="70" spans="2:14" x14ac:dyDescent="0.2">
      <c r="B70" s="58" t="s">
        <v>1491</v>
      </c>
      <c r="C70" s="16">
        <v>0.3125</v>
      </c>
      <c r="D70" s="66">
        <v>23.34</v>
      </c>
      <c r="E70" s="428">
        <f t="shared" si="0"/>
        <v>34.733748792952781</v>
      </c>
      <c r="F70" s="426">
        <f t="shared" si="10"/>
        <v>2</v>
      </c>
      <c r="G70" s="425">
        <f t="shared" si="1"/>
        <v>0.60960000092659206</v>
      </c>
      <c r="H70" s="413"/>
      <c r="I70" s="67"/>
      <c r="J70" s="419"/>
      <c r="K70" s="420"/>
      <c r="L70" s="420"/>
      <c r="M70" s="420"/>
      <c r="N70" s="421"/>
    </row>
    <row r="71" spans="2:14" x14ac:dyDescent="0.2">
      <c r="B71" s="58" t="s">
        <v>1491</v>
      </c>
      <c r="C71" s="16">
        <v>0.25</v>
      </c>
      <c r="D71" s="66">
        <v>19.02</v>
      </c>
      <c r="E71" s="428">
        <f t="shared" si="0"/>
        <v>28.304880121763574</v>
      </c>
      <c r="F71" s="426">
        <f t="shared" si="10"/>
        <v>2</v>
      </c>
      <c r="G71" s="425">
        <f t="shared" si="1"/>
        <v>0.60960000092659206</v>
      </c>
      <c r="H71" s="413"/>
      <c r="I71" s="415" t="s">
        <v>1511</v>
      </c>
      <c r="J71" s="16">
        <v>0.625</v>
      </c>
      <c r="K71" s="66">
        <v>67.819999999999993</v>
      </c>
      <c r="L71" s="425">
        <f t="shared" si="2"/>
        <v>100.92728548149346</v>
      </c>
      <c r="M71" s="426">
        <f>(12*2+6*2)*12/144</f>
        <v>3</v>
      </c>
      <c r="N71" s="425">
        <f t="shared" si="3"/>
        <v>0.91440000138988808</v>
      </c>
    </row>
    <row r="72" spans="2:14" x14ac:dyDescent="0.2">
      <c r="B72" s="58" t="s">
        <v>1491</v>
      </c>
      <c r="C72" s="16">
        <v>0.1875</v>
      </c>
      <c r="D72" s="66">
        <v>14.53</v>
      </c>
      <c r="E72" s="428">
        <f t="shared" si="0"/>
        <v>21.623023563050722</v>
      </c>
      <c r="F72" s="426">
        <f t="shared" si="10"/>
        <v>2</v>
      </c>
      <c r="G72" s="425">
        <f t="shared" si="1"/>
        <v>0.60960000092659206</v>
      </c>
      <c r="H72" s="413"/>
      <c r="I72" s="415" t="s">
        <v>1511</v>
      </c>
      <c r="J72" s="16">
        <v>0.5625</v>
      </c>
      <c r="K72" s="66">
        <v>61.83</v>
      </c>
      <c r="L72" s="425">
        <f t="shared" si="2"/>
        <v>92.013182856395474</v>
      </c>
      <c r="M72" s="426">
        <f t="shared" ref="M72:M77" si="11">(12*2+6*2)*12/144</f>
        <v>3</v>
      </c>
      <c r="N72" s="425">
        <f t="shared" si="3"/>
        <v>0.91440000138988808</v>
      </c>
    </row>
    <row r="73" spans="2:14" x14ac:dyDescent="0.2">
      <c r="B73" s="67"/>
      <c r="C73" s="419"/>
      <c r="D73" s="420"/>
      <c r="E73" s="420"/>
      <c r="F73" s="420"/>
      <c r="G73" s="421"/>
      <c r="H73" s="413"/>
      <c r="I73" s="415" t="s">
        <v>1511</v>
      </c>
      <c r="J73" s="16">
        <v>0.5</v>
      </c>
      <c r="K73" s="66">
        <v>55.66</v>
      </c>
      <c r="L73" s="425">
        <f t="shared" si="2"/>
        <v>82.831210703331251</v>
      </c>
      <c r="M73" s="426">
        <f t="shared" si="11"/>
        <v>3</v>
      </c>
      <c r="N73" s="425">
        <f t="shared" si="3"/>
        <v>0.91440000138988808</v>
      </c>
    </row>
    <row r="74" spans="2:14" x14ac:dyDescent="0.2">
      <c r="B74" s="58" t="s">
        <v>1492</v>
      </c>
      <c r="C74" s="16">
        <v>0.5</v>
      </c>
      <c r="D74" s="66">
        <v>28.43</v>
      </c>
      <c r="E74" s="428">
        <f t="shared" si="0"/>
        <v>42.308503778219688</v>
      </c>
      <c r="F74" s="426">
        <f>5*4*12/144</f>
        <v>1.6666666666666667</v>
      </c>
      <c r="G74" s="425">
        <f t="shared" si="1"/>
        <v>0.50800000077216012</v>
      </c>
      <c r="H74" s="413"/>
      <c r="I74" s="415" t="s">
        <v>1511</v>
      </c>
      <c r="J74" s="16">
        <v>0.375</v>
      </c>
      <c r="K74" s="66">
        <v>42.79</v>
      </c>
      <c r="L74" s="425">
        <f t="shared" si="2"/>
        <v>63.678539453746765</v>
      </c>
      <c r="M74" s="426">
        <f t="shared" si="11"/>
        <v>3</v>
      </c>
      <c r="N74" s="425">
        <f t="shared" si="3"/>
        <v>0.91440000138988808</v>
      </c>
    </row>
    <row r="75" spans="2:14" x14ac:dyDescent="0.2">
      <c r="B75" s="58" t="s">
        <v>1492</v>
      </c>
      <c r="C75" s="16">
        <v>0.375</v>
      </c>
      <c r="D75" s="66">
        <v>22.37</v>
      </c>
      <c r="E75" s="428">
        <f t="shared" si="0"/>
        <v>33.290229670023727</v>
      </c>
      <c r="F75" s="426">
        <f>5*4*12/144</f>
        <v>1.6666666666666667</v>
      </c>
      <c r="G75" s="425">
        <f t="shared" si="1"/>
        <v>0.50800000077216012</v>
      </c>
      <c r="H75" s="413"/>
      <c r="I75" s="415" t="s">
        <v>1511</v>
      </c>
      <c r="J75" s="16">
        <v>0.3125</v>
      </c>
      <c r="K75" s="66">
        <v>36.1</v>
      </c>
      <c r="L75" s="425">
        <f t="shared" si="2"/>
        <v>53.722721997669041</v>
      </c>
      <c r="M75" s="426">
        <f t="shared" si="11"/>
        <v>3</v>
      </c>
      <c r="N75" s="425">
        <f t="shared" si="3"/>
        <v>0.91440000138988808</v>
      </c>
    </row>
    <row r="76" spans="2:14" x14ac:dyDescent="0.2">
      <c r="B76" s="58" t="s">
        <v>1492</v>
      </c>
      <c r="C76" s="16">
        <v>0.3125</v>
      </c>
      <c r="D76" s="66">
        <v>19.079999999999998</v>
      </c>
      <c r="E76" s="428">
        <f t="shared" si="0"/>
        <v>28.394169964418978</v>
      </c>
      <c r="F76" s="426">
        <f>5*4*12/144</f>
        <v>1.6666666666666667</v>
      </c>
      <c r="G76" s="425">
        <f t="shared" si="1"/>
        <v>0.50800000077216012</v>
      </c>
      <c r="H76" s="413"/>
      <c r="I76" s="415" t="s">
        <v>1511</v>
      </c>
      <c r="J76" s="16">
        <v>0.25</v>
      </c>
      <c r="K76" s="66">
        <v>29.23</v>
      </c>
      <c r="L76" s="425">
        <f t="shared" si="2"/>
        <v>43.499035013625104</v>
      </c>
      <c r="M76" s="426">
        <f t="shared" si="11"/>
        <v>3</v>
      </c>
      <c r="N76" s="425">
        <f t="shared" si="3"/>
        <v>0.91440000138988808</v>
      </c>
    </row>
    <row r="77" spans="2:14" x14ac:dyDescent="0.2">
      <c r="B77" s="58" t="s">
        <v>1492</v>
      </c>
      <c r="C77" s="16">
        <v>0.25</v>
      </c>
      <c r="D77" s="66">
        <v>15.62</v>
      </c>
      <c r="E77" s="428">
        <f t="shared" si="0"/>
        <v>23.245122371290591</v>
      </c>
      <c r="F77" s="426">
        <f>5*4*12/144</f>
        <v>1.6666666666666667</v>
      </c>
      <c r="G77" s="425">
        <f t="shared" si="1"/>
        <v>0.50800000077216012</v>
      </c>
      <c r="H77" s="413"/>
      <c r="I77" s="415" t="s">
        <v>1511</v>
      </c>
      <c r="J77" s="16">
        <v>0.1875</v>
      </c>
      <c r="K77" s="66">
        <v>22.18</v>
      </c>
      <c r="L77" s="425">
        <f t="shared" si="2"/>
        <v>33.007478501614941</v>
      </c>
      <c r="M77" s="426">
        <f t="shared" si="11"/>
        <v>3</v>
      </c>
      <c r="N77" s="425">
        <f t="shared" si="3"/>
        <v>0.91440000138988808</v>
      </c>
    </row>
    <row r="78" spans="2:14" x14ac:dyDescent="0.2">
      <c r="B78" s="58" t="s">
        <v>1492</v>
      </c>
      <c r="C78" s="16">
        <v>0.1875</v>
      </c>
      <c r="D78" s="66">
        <v>11.97</v>
      </c>
      <c r="E78" s="428">
        <f t="shared" si="0"/>
        <v>17.813323609753418</v>
      </c>
      <c r="F78" s="426">
        <f>5*4*12/144</f>
        <v>1.6666666666666667</v>
      </c>
      <c r="G78" s="425">
        <f t="shared" si="1"/>
        <v>0.50800000077216012</v>
      </c>
      <c r="H78" s="413"/>
      <c r="I78" s="67"/>
      <c r="J78" s="419"/>
      <c r="K78" s="420"/>
      <c r="L78" s="420"/>
      <c r="M78" s="420"/>
      <c r="N78" s="421"/>
    </row>
    <row r="79" spans="2:14" x14ac:dyDescent="0.2">
      <c r="B79" s="67"/>
      <c r="C79" s="419"/>
      <c r="D79" s="420"/>
      <c r="E79" s="420"/>
      <c r="F79" s="420"/>
      <c r="G79" s="421"/>
      <c r="H79" s="413"/>
      <c r="I79" s="415" t="s">
        <v>1512</v>
      </c>
      <c r="J79" s="16">
        <v>0.625</v>
      </c>
      <c r="K79" s="66">
        <v>59.32</v>
      </c>
      <c r="L79" s="425">
        <f t="shared" si="2"/>
        <v>88.277891105311014</v>
      </c>
      <c r="M79" s="426">
        <f>(12*2+4*2)*12/144</f>
        <v>2.6666666666666665</v>
      </c>
      <c r="N79" s="425">
        <f t="shared" si="3"/>
        <v>0.81280000123545593</v>
      </c>
    </row>
    <row r="80" spans="2:14" x14ac:dyDescent="0.2">
      <c r="B80" s="58" t="s">
        <v>1687</v>
      </c>
      <c r="C80" s="16">
        <v>0.25</v>
      </c>
      <c r="D80" s="66">
        <v>13.91</v>
      </c>
      <c r="E80" s="428">
        <f t="shared" si="0"/>
        <v>20.700361855611533</v>
      </c>
      <c r="F80" s="426">
        <f>4.5*4*12/144</f>
        <v>1.5</v>
      </c>
      <c r="G80" s="425">
        <f t="shared" si="1"/>
        <v>0.45720000069494404</v>
      </c>
      <c r="H80" s="413"/>
      <c r="I80" s="415" t="s">
        <v>1512</v>
      </c>
      <c r="J80" s="16">
        <v>0.5625</v>
      </c>
      <c r="K80" s="66">
        <v>54.17</v>
      </c>
      <c r="L80" s="425">
        <f t="shared" si="2"/>
        <v>80.613846277388689</v>
      </c>
      <c r="M80" s="426">
        <f t="shared" ref="M80:M85" si="12">(12*2+4*2)*12/144</f>
        <v>2.6666666666666665</v>
      </c>
      <c r="N80" s="425">
        <f t="shared" si="3"/>
        <v>0.81280000123545593</v>
      </c>
    </row>
    <row r="81" spans="2:14" x14ac:dyDescent="0.2">
      <c r="B81" s="58" t="s">
        <v>1687</v>
      </c>
      <c r="C81" s="16">
        <v>0.1875</v>
      </c>
      <c r="D81" s="66">
        <v>10.7</v>
      </c>
      <c r="E81" s="428">
        <f t="shared" si="0"/>
        <v>15.923355273547333</v>
      </c>
      <c r="F81" s="426">
        <f>4.5*4*12/144</f>
        <v>1.5</v>
      </c>
      <c r="G81" s="425">
        <f t="shared" si="1"/>
        <v>0.45720000069494404</v>
      </c>
      <c r="H81" s="413"/>
      <c r="I81" s="415" t="s">
        <v>1512</v>
      </c>
      <c r="J81" s="16">
        <v>0.5</v>
      </c>
      <c r="K81" s="66">
        <v>48.85</v>
      </c>
      <c r="L81" s="425">
        <f t="shared" si="2"/>
        <v>72.696813561942733</v>
      </c>
      <c r="M81" s="426">
        <f t="shared" si="12"/>
        <v>2.6666666666666665</v>
      </c>
      <c r="N81" s="425">
        <f t="shared" si="3"/>
        <v>0.81280000123545593</v>
      </c>
    </row>
    <row r="82" spans="2:14" x14ac:dyDescent="0.2">
      <c r="B82" s="67"/>
      <c r="C82" s="419"/>
      <c r="D82" s="420"/>
      <c r="E82" s="420"/>
      <c r="F82" s="420"/>
      <c r="G82" s="421"/>
      <c r="H82" s="413"/>
      <c r="I82" s="415" t="s">
        <v>1512</v>
      </c>
      <c r="J82" s="16">
        <v>0.375</v>
      </c>
      <c r="K82" s="66">
        <v>37.69</v>
      </c>
      <c r="L82" s="425">
        <f t="shared" si="2"/>
        <v>56.088902828037284</v>
      </c>
      <c r="M82" s="426">
        <f t="shared" si="12"/>
        <v>2.6666666666666665</v>
      </c>
      <c r="N82" s="425">
        <f t="shared" si="3"/>
        <v>0.81280000123545593</v>
      </c>
    </row>
    <row r="83" spans="2:14" x14ac:dyDescent="0.2">
      <c r="B83" s="58" t="s">
        <v>1493</v>
      </c>
      <c r="C83" s="16">
        <v>0.5</v>
      </c>
      <c r="D83" s="66">
        <v>21.63</v>
      </c>
      <c r="E83" s="428">
        <f t="shared" si="0"/>
        <v>32.188988277273715</v>
      </c>
      <c r="F83" s="426">
        <f>4*4*12/144</f>
        <v>1.3333333333333333</v>
      </c>
      <c r="G83" s="425">
        <f t="shared" si="1"/>
        <v>0.40640000061772796</v>
      </c>
      <c r="H83" s="413"/>
      <c r="I83" s="415" t="s">
        <v>1512</v>
      </c>
      <c r="J83" s="16">
        <v>0.3125</v>
      </c>
      <c r="K83" s="66">
        <v>31.84</v>
      </c>
      <c r="L83" s="425">
        <f t="shared" si="2"/>
        <v>47.383143169135238</v>
      </c>
      <c r="M83" s="426">
        <f t="shared" si="12"/>
        <v>2.6666666666666665</v>
      </c>
      <c r="N83" s="425">
        <f t="shared" si="3"/>
        <v>0.81280000123545593</v>
      </c>
    </row>
    <row r="84" spans="2:14" x14ac:dyDescent="0.2">
      <c r="B84" s="58" t="s">
        <v>1493</v>
      </c>
      <c r="C84" s="16">
        <v>0.375</v>
      </c>
      <c r="D84" s="66">
        <v>17.27</v>
      </c>
      <c r="E84" s="428">
        <f t="shared" si="0"/>
        <v>25.700593044314246</v>
      </c>
      <c r="F84" s="426">
        <f>4*4*12/144</f>
        <v>1.3333333333333333</v>
      </c>
      <c r="G84" s="425">
        <f t="shared" si="1"/>
        <v>0.40640000061772796</v>
      </c>
      <c r="H84" s="413"/>
      <c r="I84" s="415" t="s">
        <v>1512</v>
      </c>
      <c r="J84" s="16">
        <v>0.25</v>
      </c>
      <c r="K84" s="66">
        <v>25.82</v>
      </c>
      <c r="L84" s="425">
        <f t="shared" si="2"/>
        <v>38.42439562270954</v>
      </c>
      <c r="M84" s="426">
        <f t="shared" si="12"/>
        <v>2.6666666666666665</v>
      </c>
      <c r="N84" s="425">
        <f t="shared" si="3"/>
        <v>0.81280000123545593</v>
      </c>
    </row>
    <row r="85" spans="2:14" x14ac:dyDescent="0.2">
      <c r="B85" s="58" t="s">
        <v>1493</v>
      </c>
      <c r="C85" s="16">
        <v>0.3125</v>
      </c>
      <c r="D85" s="66">
        <v>14.83</v>
      </c>
      <c r="E85" s="428">
        <f t="shared" ref="E85:E103" si="13">D85*3.2808399*0.4535924</f>
        <v>22.069472776327753</v>
      </c>
      <c r="F85" s="426">
        <f>4*4*12/144</f>
        <v>1.3333333333333333</v>
      </c>
      <c r="G85" s="425">
        <f t="shared" ref="G85:G103" si="14">(F85*3.2808399)*0.09290304</f>
        <v>0.40640000061772796</v>
      </c>
      <c r="H85" s="413"/>
      <c r="I85" s="415" t="s">
        <v>1512</v>
      </c>
      <c r="J85" s="16">
        <v>0.1875</v>
      </c>
      <c r="K85" s="66">
        <v>19.63</v>
      </c>
      <c r="L85" s="425">
        <f>K85*3.2808399*0.4535924</f>
        <v>29.2126601887602</v>
      </c>
      <c r="M85" s="426">
        <f t="shared" si="12"/>
        <v>2.6666666666666665</v>
      </c>
      <c r="N85" s="425">
        <f>(M85*3.2808399)*0.09290304</f>
        <v>0.81280000123545593</v>
      </c>
    </row>
    <row r="86" spans="2:14" x14ac:dyDescent="0.2">
      <c r="B86" s="58" t="s">
        <v>1493</v>
      </c>
      <c r="C86" s="16">
        <v>0.25</v>
      </c>
      <c r="D86" s="66">
        <v>12.21</v>
      </c>
      <c r="E86" s="428">
        <f t="shared" si="13"/>
        <v>18.170482980375041</v>
      </c>
      <c r="F86" s="426">
        <f>4*4*12/144</f>
        <v>1.3333333333333333</v>
      </c>
      <c r="G86" s="425">
        <f t="shared" si="14"/>
        <v>0.40640000061772796</v>
      </c>
      <c r="H86" s="413"/>
      <c r="I86" s="67"/>
      <c r="J86" s="419"/>
      <c r="K86" s="420"/>
      <c r="L86" s="420"/>
      <c r="M86" s="420"/>
      <c r="N86" s="421"/>
    </row>
    <row r="87" spans="2:14" x14ac:dyDescent="0.2">
      <c r="B87" s="58" t="s">
        <v>1493</v>
      </c>
      <c r="C87" s="16">
        <v>0.1875</v>
      </c>
      <c r="D87" s="66">
        <v>9.42</v>
      </c>
      <c r="E87" s="428">
        <f t="shared" si="13"/>
        <v>14.018505296898679</v>
      </c>
      <c r="F87" s="426">
        <f>4*4*12/144</f>
        <v>1.3333333333333333</v>
      </c>
      <c r="G87" s="425">
        <f t="shared" si="14"/>
        <v>0.40640000061772796</v>
      </c>
      <c r="H87" s="413"/>
      <c r="I87" s="415" t="s">
        <v>1513</v>
      </c>
      <c r="J87" s="16">
        <v>0.25</v>
      </c>
      <c r="K87" s="66">
        <v>22.42</v>
      </c>
      <c r="L87" s="425">
        <f t="shared" ref="L87:L150" si="15">K87*3.2808399*0.4535924</f>
        <v>33.364637872236564</v>
      </c>
      <c r="M87" s="426">
        <f>(12*2+2*2)*12/144</f>
        <v>2.3333333333333335</v>
      </c>
      <c r="N87" s="425">
        <f t="shared" ref="N87:N150" si="16">(M87*3.2808399)*0.09290304</f>
        <v>0.7112000010810241</v>
      </c>
    </row>
    <row r="88" spans="2:14" x14ac:dyDescent="0.2">
      <c r="B88" s="67"/>
      <c r="C88" s="419"/>
      <c r="D88" s="420"/>
      <c r="E88" s="420"/>
      <c r="F88" s="420"/>
      <c r="G88" s="421"/>
      <c r="H88" s="413"/>
      <c r="I88" s="415" t="s">
        <v>1513</v>
      </c>
      <c r="J88" s="16">
        <v>0.1875</v>
      </c>
      <c r="K88" s="66">
        <v>17.079999999999998</v>
      </c>
      <c r="L88" s="425">
        <f t="shared" si="15"/>
        <v>25.417841875905459</v>
      </c>
      <c r="M88" s="426">
        <f>(12*2+2*2)*12/144</f>
        <v>2.3333333333333335</v>
      </c>
      <c r="N88" s="425">
        <f t="shared" si="16"/>
        <v>0.7112000010810241</v>
      </c>
    </row>
    <row r="89" spans="2:14" x14ac:dyDescent="0.2">
      <c r="B89" s="58" t="s">
        <v>1494</v>
      </c>
      <c r="C89" s="16">
        <v>0.3125</v>
      </c>
      <c r="D89" s="66">
        <v>12.7</v>
      </c>
      <c r="E89" s="428">
        <f t="shared" si="13"/>
        <v>18.899683362060852</v>
      </c>
      <c r="F89" s="426">
        <f>3.5*4*12/144</f>
        <v>1.1666666666666667</v>
      </c>
      <c r="G89" s="425">
        <f t="shared" si="14"/>
        <v>0.35560000054051205</v>
      </c>
      <c r="H89" s="413"/>
      <c r="I89" s="67"/>
      <c r="J89" s="419"/>
      <c r="K89" s="420"/>
      <c r="L89" s="420"/>
      <c r="M89" s="420"/>
      <c r="N89" s="421"/>
    </row>
    <row r="90" spans="2:14" x14ac:dyDescent="0.2">
      <c r="B90" s="58" t="s">
        <v>1494</v>
      </c>
      <c r="C90" s="16">
        <v>0.25</v>
      </c>
      <c r="D90" s="66">
        <v>10.51</v>
      </c>
      <c r="E90" s="428">
        <f t="shared" si="13"/>
        <v>15.640604105138548</v>
      </c>
      <c r="F90" s="426">
        <f>3.5*4*12/144</f>
        <v>1.1666666666666667</v>
      </c>
      <c r="G90" s="425">
        <f t="shared" si="14"/>
        <v>0.35560000054051205</v>
      </c>
      <c r="H90" s="413"/>
      <c r="I90" s="415" t="s">
        <v>1688</v>
      </c>
      <c r="J90" s="16">
        <v>0.625</v>
      </c>
      <c r="K90" s="66">
        <v>67.819999999999993</v>
      </c>
      <c r="L90" s="425">
        <f t="shared" si="15"/>
        <v>100.92728548149346</v>
      </c>
      <c r="M90" s="426">
        <f>(10*2+8*2)*12/144</f>
        <v>3</v>
      </c>
      <c r="N90" s="425">
        <f t="shared" si="16"/>
        <v>0.91440000138988808</v>
      </c>
    </row>
    <row r="91" spans="2:14" x14ac:dyDescent="0.2">
      <c r="B91" s="58" t="s">
        <v>1494</v>
      </c>
      <c r="C91" s="16">
        <v>0.1875</v>
      </c>
      <c r="D91" s="66">
        <v>8.15</v>
      </c>
      <c r="E91" s="428">
        <f t="shared" si="13"/>
        <v>12.128536960692596</v>
      </c>
      <c r="F91" s="426">
        <f>3.5*4*12/144</f>
        <v>1.1666666666666667</v>
      </c>
      <c r="G91" s="425">
        <f t="shared" si="14"/>
        <v>0.35560000054051205</v>
      </c>
      <c r="H91" s="413"/>
      <c r="I91" s="415" t="s">
        <v>1688</v>
      </c>
      <c r="J91" s="16">
        <v>0.5625</v>
      </c>
      <c r="K91" s="66">
        <v>61.83</v>
      </c>
      <c r="L91" s="425">
        <f t="shared" si="15"/>
        <v>92.013182856395474</v>
      </c>
      <c r="M91" s="426">
        <f t="shared" ref="M91:M96" si="17">(10*2+8*2)*12/144</f>
        <v>3</v>
      </c>
      <c r="N91" s="425">
        <f t="shared" si="16"/>
        <v>0.91440000138988808</v>
      </c>
    </row>
    <row r="92" spans="2:14" x14ac:dyDescent="0.2">
      <c r="B92" s="67"/>
      <c r="C92" s="419"/>
      <c r="D92" s="420"/>
      <c r="E92" s="420"/>
      <c r="F92" s="420"/>
      <c r="G92" s="421"/>
      <c r="H92" s="413"/>
      <c r="I92" s="415" t="s">
        <v>1688</v>
      </c>
      <c r="J92" s="16">
        <v>0.5</v>
      </c>
      <c r="K92" s="66">
        <v>55.66</v>
      </c>
      <c r="L92" s="425">
        <f t="shared" si="15"/>
        <v>82.831210703331251</v>
      </c>
      <c r="M92" s="426">
        <f t="shared" si="17"/>
        <v>3</v>
      </c>
      <c r="N92" s="425">
        <f t="shared" si="16"/>
        <v>0.91440000138988808</v>
      </c>
    </row>
    <row r="93" spans="2:14" x14ac:dyDescent="0.2">
      <c r="B93" s="58" t="s">
        <v>1495</v>
      </c>
      <c r="C93" s="16">
        <v>0.3125</v>
      </c>
      <c r="D93" s="66">
        <v>10.58</v>
      </c>
      <c r="E93" s="428">
        <f t="shared" si="13"/>
        <v>15.74477558823652</v>
      </c>
      <c r="F93" s="426">
        <f>3*4*12/144</f>
        <v>1</v>
      </c>
      <c r="G93" s="425">
        <f t="shared" si="14"/>
        <v>0.30480000046329603</v>
      </c>
      <c r="H93" s="413"/>
      <c r="I93" s="415" t="s">
        <v>1688</v>
      </c>
      <c r="J93" s="16">
        <v>0.375</v>
      </c>
      <c r="K93" s="66">
        <v>42.79</v>
      </c>
      <c r="L93" s="425">
        <f t="shared" si="15"/>
        <v>63.678539453746765</v>
      </c>
      <c r="M93" s="426">
        <f t="shared" si="17"/>
        <v>3</v>
      </c>
      <c r="N93" s="425">
        <f t="shared" si="16"/>
        <v>0.91440000138988808</v>
      </c>
    </row>
    <row r="94" spans="2:14" x14ac:dyDescent="0.2">
      <c r="B94" s="58" t="s">
        <v>1495</v>
      </c>
      <c r="C94" s="16">
        <v>0.25</v>
      </c>
      <c r="D94" s="66">
        <v>8.81</v>
      </c>
      <c r="E94" s="428">
        <f t="shared" si="13"/>
        <v>13.110725229902057</v>
      </c>
      <c r="F94" s="426">
        <f>3*4*12/144</f>
        <v>1</v>
      </c>
      <c r="G94" s="425">
        <f t="shared" si="14"/>
        <v>0.30480000046329603</v>
      </c>
      <c r="H94" s="413"/>
      <c r="I94" s="415" t="s">
        <v>1688</v>
      </c>
      <c r="J94" s="16">
        <v>0.3125</v>
      </c>
      <c r="K94" s="66">
        <v>36.1</v>
      </c>
      <c r="L94" s="425">
        <f t="shared" si="15"/>
        <v>53.722721997669041</v>
      </c>
      <c r="M94" s="426">
        <f t="shared" si="17"/>
        <v>3</v>
      </c>
      <c r="N94" s="425">
        <f t="shared" si="16"/>
        <v>0.91440000138988808</v>
      </c>
    </row>
    <row r="95" spans="2:14" x14ac:dyDescent="0.2">
      <c r="B95" s="58" t="s">
        <v>1495</v>
      </c>
      <c r="C95" s="16">
        <v>0.1875</v>
      </c>
      <c r="D95" s="66">
        <v>6.87</v>
      </c>
      <c r="E95" s="428">
        <f t="shared" si="13"/>
        <v>10.223686984043942</v>
      </c>
      <c r="F95" s="426">
        <f>3*4*12/144</f>
        <v>1</v>
      </c>
      <c r="G95" s="425">
        <f t="shared" si="14"/>
        <v>0.30480000046329603</v>
      </c>
      <c r="H95" s="413"/>
      <c r="I95" s="415" t="s">
        <v>1688</v>
      </c>
      <c r="J95" s="16">
        <v>0.25</v>
      </c>
      <c r="K95" s="66">
        <v>29.23</v>
      </c>
      <c r="L95" s="425">
        <f t="shared" si="15"/>
        <v>43.499035013625104</v>
      </c>
      <c r="M95" s="426">
        <f t="shared" si="17"/>
        <v>3</v>
      </c>
      <c r="N95" s="425">
        <f t="shared" si="16"/>
        <v>0.91440000138988808</v>
      </c>
    </row>
    <row r="96" spans="2:14" x14ac:dyDescent="0.2">
      <c r="B96" s="67"/>
      <c r="C96" s="419"/>
      <c r="D96" s="420"/>
      <c r="E96" s="420"/>
      <c r="F96" s="420"/>
      <c r="G96" s="421"/>
      <c r="H96" s="413"/>
      <c r="I96" s="415" t="s">
        <v>1688</v>
      </c>
      <c r="J96" s="16">
        <v>0.1875</v>
      </c>
      <c r="K96" s="66">
        <v>22.18</v>
      </c>
      <c r="L96" s="425">
        <f t="shared" si="15"/>
        <v>33.007478501614941</v>
      </c>
      <c r="M96" s="426">
        <f t="shared" si="17"/>
        <v>3</v>
      </c>
      <c r="N96" s="425">
        <f t="shared" si="16"/>
        <v>0.91440000138988808</v>
      </c>
    </row>
    <row r="97" spans="2:14" x14ac:dyDescent="0.2">
      <c r="B97" s="58" t="s">
        <v>1496</v>
      </c>
      <c r="C97" s="16">
        <v>0.3125</v>
      </c>
      <c r="D97" s="66">
        <v>8.4499999999999993</v>
      </c>
      <c r="E97" s="428">
        <f t="shared" si="13"/>
        <v>12.574986173969622</v>
      </c>
      <c r="F97" s="426">
        <f>2.5*4*12/144</f>
        <v>0.83333333333333337</v>
      </c>
      <c r="G97" s="425">
        <f t="shared" si="14"/>
        <v>0.25400000038608006</v>
      </c>
      <c r="H97" s="413"/>
      <c r="I97" s="67"/>
      <c r="J97" s="419"/>
      <c r="K97" s="420"/>
      <c r="L97" s="420"/>
      <c r="M97" s="420"/>
      <c r="N97" s="421"/>
    </row>
    <row r="98" spans="2:14" x14ac:dyDescent="0.2">
      <c r="B98" s="58" t="s">
        <v>1496</v>
      </c>
      <c r="C98" s="16">
        <v>0.25</v>
      </c>
      <c r="D98" s="66">
        <v>7.11</v>
      </c>
      <c r="E98" s="428">
        <f t="shared" si="13"/>
        <v>10.580846354665564</v>
      </c>
      <c r="F98" s="426">
        <f>2.5*4*12/144</f>
        <v>0.83333333333333337</v>
      </c>
      <c r="G98" s="425">
        <f t="shared" si="14"/>
        <v>0.25400000038608006</v>
      </c>
      <c r="H98" s="413"/>
      <c r="I98" s="415" t="s">
        <v>1514</v>
      </c>
      <c r="J98" s="16">
        <v>0.625</v>
      </c>
      <c r="K98" s="66">
        <v>59.32</v>
      </c>
      <c r="L98" s="425">
        <f t="shared" si="15"/>
        <v>88.277891105311014</v>
      </c>
      <c r="M98" s="426">
        <f>(10*2+6*2)*12/144</f>
        <v>2.6666666666666665</v>
      </c>
      <c r="N98" s="425">
        <f t="shared" si="16"/>
        <v>0.81280000123545593</v>
      </c>
    </row>
    <row r="99" spans="2:14" x14ac:dyDescent="0.2">
      <c r="B99" s="58" t="s">
        <v>1496</v>
      </c>
      <c r="C99" s="16">
        <v>0.1875</v>
      </c>
      <c r="D99" s="66">
        <v>5.59</v>
      </c>
      <c r="E99" s="428">
        <f t="shared" si="13"/>
        <v>8.31883700739529</v>
      </c>
      <c r="F99" s="426">
        <f>2.5*4*12/144</f>
        <v>0.83333333333333337</v>
      </c>
      <c r="G99" s="425">
        <f t="shared" si="14"/>
        <v>0.25400000038608006</v>
      </c>
      <c r="H99" s="413"/>
      <c r="I99" s="415" t="s">
        <v>1514</v>
      </c>
      <c r="J99" s="16">
        <v>0.5625</v>
      </c>
      <c r="K99" s="66">
        <v>54.17</v>
      </c>
      <c r="L99" s="425">
        <f t="shared" si="15"/>
        <v>80.613846277388689</v>
      </c>
      <c r="M99" s="426">
        <f t="shared" ref="M99:M104" si="18">(10*2+6*2)*12/144</f>
        <v>2.6666666666666665</v>
      </c>
      <c r="N99" s="425">
        <f t="shared" si="16"/>
        <v>0.81280000123545593</v>
      </c>
    </row>
    <row r="100" spans="2:14" x14ac:dyDescent="0.2">
      <c r="B100" s="67"/>
      <c r="C100" s="419"/>
      <c r="D100" s="420"/>
      <c r="E100" s="420"/>
      <c r="F100" s="420"/>
      <c r="G100" s="421"/>
      <c r="H100" s="413"/>
      <c r="I100" s="415" t="s">
        <v>1514</v>
      </c>
      <c r="J100" s="16">
        <v>0.5</v>
      </c>
      <c r="K100" s="66">
        <v>48.85</v>
      </c>
      <c r="L100" s="425">
        <f t="shared" si="15"/>
        <v>72.696813561942733</v>
      </c>
      <c r="M100" s="426">
        <f t="shared" si="18"/>
        <v>2.6666666666666665</v>
      </c>
      <c r="N100" s="425">
        <f t="shared" si="16"/>
        <v>0.81280000123545593</v>
      </c>
    </row>
    <row r="101" spans="2:14" x14ac:dyDescent="0.2">
      <c r="B101" s="58" t="s">
        <v>1497</v>
      </c>
      <c r="C101" s="16">
        <v>0.3125</v>
      </c>
      <c r="D101" s="66">
        <v>6.32</v>
      </c>
      <c r="E101" s="428">
        <f t="shared" si="13"/>
        <v>9.405196759702724</v>
      </c>
      <c r="F101" s="426">
        <f>2*4*12/144</f>
        <v>0.66666666666666663</v>
      </c>
      <c r="G101" s="425">
        <f t="shared" si="14"/>
        <v>0.20320000030886398</v>
      </c>
      <c r="H101" s="413"/>
      <c r="I101" s="415" t="s">
        <v>1514</v>
      </c>
      <c r="J101" s="16">
        <v>0.375</v>
      </c>
      <c r="K101" s="66">
        <v>37.69</v>
      </c>
      <c r="L101" s="425">
        <f t="shared" si="15"/>
        <v>56.088902828037284</v>
      </c>
      <c r="M101" s="426">
        <f t="shared" si="18"/>
        <v>2.6666666666666665</v>
      </c>
      <c r="N101" s="425">
        <f t="shared" si="16"/>
        <v>0.81280000123545593</v>
      </c>
    </row>
    <row r="102" spans="2:14" x14ac:dyDescent="0.2">
      <c r="B102" s="58" t="s">
        <v>1497</v>
      </c>
      <c r="C102" s="16">
        <v>0.25</v>
      </c>
      <c r="D102" s="66">
        <v>5.41</v>
      </c>
      <c r="E102" s="428">
        <f t="shared" si="13"/>
        <v>8.0509674794290724</v>
      </c>
      <c r="F102" s="426">
        <f>2*4*12/144</f>
        <v>0.66666666666666663</v>
      </c>
      <c r="G102" s="425">
        <f t="shared" si="14"/>
        <v>0.20320000030886398</v>
      </c>
      <c r="H102" s="413"/>
      <c r="I102" s="415" t="s">
        <v>1514</v>
      </c>
      <c r="J102" s="16">
        <v>0.3125</v>
      </c>
      <c r="K102" s="66">
        <v>31.84</v>
      </c>
      <c r="L102" s="425">
        <f t="shared" si="15"/>
        <v>47.383143169135238</v>
      </c>
      <c r="M102" s="426">
        <f t="shared" si="18"/>
        <v>2.6666666666666665</v>
      </c>
      <c r="N102" s="425">
        <f t="shared" si="16"/>
        <v>0.81280000123545593</v>
      </c>
    </row>
    <row r="103" spans="2:14" x14ac:dyDescent="0.2">
      <c r="B103" s="58" t="s">
        <v>1497</v>
      </c>
      <c r="C103" s="16">
        <v>0.1875</v>
      </c>
      <c r="D103" s="66">
        <v>4.32</v>
      </c>
      <c r="E103" s="428">
        <f t="shared" si="13"/>
        <v>6.4288686711892042</v>
      </c>
      <c r="F103" s="426">
        <f>2*4*12/144</f>
        <v>0.66666666666666663</v>
      </c>
      <c r="G103" s="425">
        <f t="shared" si="14"/>
        <v>0.20320000030886398</v>
      </c>
      <c r="H103" s="413"/>
      <c r="I103" s="415" t="s">
        <v>1514</v>
      </c>
      <c r="J103" s="16">
        <v>0.25</v>
      </c>
      <c r="K103" s="66">
        <v>25.82</v>
      </c>
      <c r="L103" s="425">
        <f t="shared" si="15"/>
        <v>38.42439562270954</v>
      </c>
      <c r="M103" s="426">
        <f t="shared" si="18"/>
        <v>2.6666666666666665</v>
      </c>
      <c r="N103" s="425">
        <f t="shared" si="16"/>
        <v>0.81280000123545593</v>
      </c>
    </row>
    <row r="104" spans="2:14" x14ac:dyDescent="0.2">
      <c r="B104" s="67"/>
      <c r="C104" s="419"/>
      <c r="D104" s="420"/>
      <c r="E104" s="420"/>
      <c r="F104" s="420"/>
      <c r="G104" s="421"/>
      <c r="H104" s="413"/>
      <c r="I104" s="415" t="s">
        <v>1514</v>
      </c>
      <c r="J104" s="16">
        <v>0.1875</v>
      </c>
      <c r="K104" s="66">
        <v>19.63</v>
      </c>
      <c r="L104" s="425">
        <f t="shared" si="15"/>
        <v>29.2126601887602</v>
      </c>
      <c r="M104" s="426">
        <f t="shared" si="18"/>
        <v>2.6666666666666665</v>
      </c>
      <c r="N104" s="425">
        <f t="shared" si="16"/>
        <v>0.81280000123545593</v>
      </c>
    </row>
    <row r="105" spans="2:14" x14ac:dyDescent="0.2">
      <c r="E105" s="17"/>
      <c r="F105" s="413"/>
      <c r="G105" s="349"/>
      <c r="H105" s="413"/>
      <c r="I105" s="67"/>
      <c r="J105" s="419"/>
      <c r="K105" s="420"/>
      <c r="L105" s="420"/>
      <c r="M105" s="420"/>
      <c r="N105" s="421"/>
    </row>
    <row r="106" spans="2:14" x14ac:dyDescent="0.2">
      <c r="F106" s="413"/>
      <c r="G106" s="349"/>
      <c r="H106" s="413"/>
      <c r="I106" s="415" t="s">
        <v>1689</v>
      </c>
      <c r="J106" s="16">
        <v>0.625</v>
      </c>
      <c r="K106" s="66">
        <v>55.06</v>
      </c>
      <c r="L106" s="425">
        <f t="shared" si="15"/>
        <v>81.938312276777211</v>
      </c>
      <c r="M106" s="426">
        <f>(10*2+5*2)*12/144</f>
        <v>2.5</v>
      </c>
      <c r="N106" s="425">
        <f t="shared" si="16"/>
        <v>0.76200000115824007</v>
      </c>
    </row>
    <row r="107" spans="2:14" x14ac:dyDescent="0.2">
      <c r="F107" s="413"/>
      <c r="G107" s="349"/>
      <c r="H107" s="413"/>
      <c r="I107" s="415" t="s">
        <v>1689</v>
      </c>
      <c r="J107" s="16">
        <v>0.5625</v>
      </c>
      <c r="K107" s="66">
        <v>50.34</v>
      </c>
      <c r="L107" s="425">
        <f t="shared" si="15"/>
        <v>74.91417798788531</v>
      </c>
      <c r="M107" s="426">
        <f t="shared" ref="M107:M112" si="19">(10*2+5*2)*12/144</f>
        <v>2.5</v>
      </c>
      <c r="N107" s="425">
        <f t="shared" si="16"/>
        <v>0.76200000115824007</v>
      </c>
    </row>
    <row r="108" spans="2:14" x14ac:dyDescent="0.2">
      <c r="F108" s="413"/>
      <c r="G108" s="349"/>
      <c r="H108" s="413"/>
      <c r="I108" s="415" t="s">
        <v>1689</v>
      </c>
      <c r="J108" s="16">
        <v>0.5</v>
      </c>
      <c r="K108" s="66">
        <v>45.45</v>
      </c>
      <c r="L108" s="425">
        <f t="shared" si="15"/>
        <v>67.63705581146975</v>
      </c>
      <c r="M108" s="426">
        <f t="shared" si="19"/>
        <v>2.5</v>
      </c>
      <c r="N108" s="425">
        <f t="shared" si="16"/>
        <v>0.76200000115824007</v>
      </c>
    </row>
    <row r="109" spans="2:14" x14ac:dyDescent="0.2">
      <c r="F109" s="413"/>
      <c r="G109" s="349"/>
      <c r="H109" s="413"/>
      <c r="I109" s="415" t="s">
        <v>1689</v>
      </c>
      <c r="J109" s="16">
        <v>0.375</v>
      </c>
      <c r="K109" s="66">
        <v>35.130000000000003</v>
      </c>
      <c r="L109" s="425">
        <f t="shared" si="15"/>
        <v>52.279202874739987</v>
      </c>
      <c r="M109" s="426">
        <f t="shared" si="19"/>
        <v>2.5</v>
      </c>
      <c r="N109" s="425">
        <f t="shared" si="16"/>
        <v>0.76200000115824007</v>
      </c>
    </row>
    <row r="110" spans="2:14" x14ac:dyDescent="0.2">
      <c r="F110" s="413"/>
      <c r="G110" s="349"/>
      <c r="H110" s="413"/>
      <c r="I110" s="415" t="s">
        <v>1689</v>
      </c>
      <c r="J110" s="16">
        <v>0.3125</v>
      </c>
      <c r="K110" s="66">
        <v>29.72</v>
      </c>
      <c r="L110" s="425">
        <f t="shared" si="15"/>
        <v>44.228235395310911</v>
      </c>
      <c r="M110" s="426">
        <f t="shared" si="19"/>
        <v>2.5</v>
      </c>
      <c r="N110" s="425">
        <f t="shared" si="16"/>
        <v>0.76200000115824007</v>
      </c>
    </row>
    <row r="111" spans="2:14" x14ac:dyDescent="0.2">
      <c r="F111" s="413"/>
      <c r="G111" s="349"/>
      <c r="H111" s="413"/>
      <c r="I111" s="415" t="s">
        <v>1689</v>
      </c>
      <c r="J111" s="16">
        <v>0.25</v>
      </c>
      <c r="K111" s="66">
        <v>24.12</v>
      </c>
      <c r="L111" s="425">
        <f t="shared" si="15"/>
        <v>35.894516747473055</v>
      </c>
      <c r="M111" s="426">
        <f t="shared" si="19"/>
        <v>2.5</v>
      </c>
      <c r="N111" s="425">
        <f t="shared" si="16"/>
        <v>0.76200000115824007</v>
      </c>
    </row>
    <row r="112" spans="2:14" x14ac:dyDescent="0.2">
      <c r="F112" s="413"/>
      <c r="G112" s="349"/>
      <c r="H112" s="413"/>
      <c r="I112" s="415" t="s">
        <v>1689</v>
      </c>
      <c r="J112" s="16">
        <v>0.1875</v>
      </c>
      <c r="K112" s="66">
        <v>18.350000000000001</v>
      </c>
      <c r="L112" s="425">
        <f t="shared" si="15"/>
        <v>27.307810212111551</v>
      </c>
      <c r="M112" s="426">
        <f t="shared" si="19"/>
        <v>2.5</v>
      </c>
      <c r="N112" s="425">
        <f t="shared" si="16"/>
        <v>0.76200000115824007</v>
      </c>
    </row>
    <row r="113" spans="6:14" x14ac:dyDescent="0.2">
      <c r="F113" s="413"/>
      <c r="G113" s="349"/>
      <c r="H113" s="413"/>
      <c r="I113" s="67"/>
      <c r="J113" s="419"/>
      <c r="K113" s="420"/>
      <c r="L113" s="420"/>
      <c r="M113" s="420"/>
      <c r="N113" s="421"/>
    </row>
    <row r="114" spans="6:14" x14ac:dyDescent="0.2">
      <c r="F114" s="413"/>
      <c r="G114" s="349"/>
      <c r="H114" s="413"/>
      <c r="I114" s="415" t="s">
        <v>1515</v>
      </c>
      <c r="J114" s="16">
        <v>0.5625</v>
      </c>
      <c r="K114" s="66">
        <v>46.51</v>
      </c>
      <c r="L114" s="425">
        <f t="shared" si="15"/>
        <v>69.214509698381903</v>
      </c>
      <c r="M114" s="426">
        <f t="shared" ref="M114:M119" si="20">(10*2+4*2)*12/144</f>
        <v>2.3333333333333335</v>
      </c>
      <c r="N114" s="425">
        <f t="shared" si="16"/>
        <v>0.7112000010810241</v>
      </c>
    </row>
    <row r="115" spans="6:14" x14ac:dyDescent="0.2">
      <c r="F115" s="413"/>
      <c r="G115" s="349"/>
      <c r="H115" s="413"/>
      <c r="I115" s="415" t="s">
        <v>1515</v>
      </c>
      <c r="J115" s="16">
        <v>0.5</v>
      </c>
      <c r="K115" s="66">
        <v>42.05</v>
      </c>
      <c r="L115" s="425">
        <f t="shared" si="15"/>
        <v>62.57729806099676</v>
      </c>
      <c r="M115" s="426">
        <f t="shared" si="20"/>
        <v>2.3333333333333335</v>
      </c>
      <c r="N115" s="425">
        <f t="shared" si="16"/>
        <v>0.7112000010810241</v>
      </c>
    </row>
    <row r="116" spans="6:14" x14ac:dyDescent="0.2">
      <c r="F116" s="413"/>
      <c r="G116" s="349"/>
      <c r="H116" s="413"/>
      <c r="I116" s="415" t="s">
        <v>1515</v>
      </c>
      <c r="J116" s="16">
        <v>0.375</v>
      </c>
      <c r="K116" s="66">
        <v>32.58</v>
      </c>
      <c r="L116" s="425">
        <f t="shared" si="15"/>
        <v>48.484384561885243</v>
      </c>
      <c r="M116" s="426">
        <f t="shared" si="20"/>
        <v>2.3333333333333335</v>
      </c>
      <c r="N116" s="425">
        <f t="shared" si="16"/>
        <v>0.7112000010810241</v>
      </c>
    </row>
    <row r="117" spans="6:14" x14ac:dyDescent="0.2">
      <c r="F117" s="413"/>
      <c r="G117" s="349"/>
      <c r="H117" s="413"/>
      <c r="I117" s="415" t="s">
        <v>1515</v>
      </c>
      <c r="J117" s="16">
        <v>0.3125</v>
      </c>
      <c r="K117" s="66">
        <v>27.59</v>
      </c>
      <c r="L117" s="425">
        <f t="shared" si="15"/>
        <v>41.058445981044009</v>
      </c>
      <c r="M117" s="426">
        <f t="shared" si="20"/>
        <v>2.3333333333333335</v>
      </c>
      <c r="N117" s="425">
        <f t="shared" si="16"/>
        <v>0.7112000010810241</v>
      </c>
    </row>
    <row r="118" spans="6:14" x14ac:dyDescent="0.2">
      <c r="F118" s="413"/>
      <c r="G118" s="349"/>
      <c r="H118" s="413"/>
      <c r="I118" s="415" t="s">
        <v>1515</v>
      </c>
      <c r="J118" s="16">
        <v>0.25</v>
      </c>
      <c r="K118" s="66">
        <v>22.42</v>
      </c>
      <c r="L118" s="425">
        <f t="shared" si="15"/>
        <v>33.364637872236564</v>
      </c>
      <c r="M118" s="426">
        <f t="shared" si="20"/>
        <v>2.3333333333333335</v>
      </c>
      <c r="N118" s="425">
        <f t="shared" si="16"/>
        <v>0.7112000010810241</v>
      </c>
    </row>
    <row r="119" spans="6:14" x14ac:dyDescent="0.2">
      <c r="F119" s="413"/>
      <c r="G119" s="349"/>
      <c r="H119" s="413"/>
      <c r="I119" s="415" t="s">
        <v>1515</v>
      </c>
      <c r="J119" s="16">
        <v>0.1875</v>
      </c>
      <c r="K119" s="66">
        <v>17.079999999999998</v>
      </c>
      <c r="L119" s="425">
        <f t="shared" si="15"/>
        <v>25.417841875905459</v>
      </c>
      <c r="M119" s="426">
        <f t="shared" si="20"/>
        <v>2.3333333333333335</v>
      </c>
      <c r="N119" s="425">
        <f t="shared" si="16"/>
        <v>0.7112000010810241</v>
      </c>
    </row>
    <row r="120" spans="6:14" x14ac:dyDescent="0.2">
      <c r="F120" s="413"/>
      <c r="G120" s="349"/>
      <c r="H120" s="413"/>
      <c r="I120" s="67"/>
      <c r="J120" s="419"/>
      <c r="K120" s="420"/>
      <c r="L120" s="420"/>
      <c r="M120" s="420"/>
      <c r="N120" s="421"/>
    </row>
    <row r="121" spans="6:14" x14ac:dyDescent="0.2">
      <c r="F121" s="413"/>
      <c r="G121" s="349"/>
      <c r="H121" s="413"/>
      <c r="I121" s="415" t="s">
        <v>1516</v>
      </c>
      <c r="J121" s="16">
        <v>0.375</v>
      </c>
      <c r="K121" s="66">
        <v>27.48</v>
      </c>
      <c r="L121" s="425">
        <f t="shared" si="15"/>
        <v>40.894747936175769</v>
      </c>
      <c r="M121" s="426">
        <f>(10*2+2*2)*12/144</f>
        <v>2</v>
      </c>
      <c r="N121" s="425">
        <f t="shared" si="16"/>
        <v>0.60960000092659206</v>
      </c>
    </row>
    <row r="122" spans="6:14" x14ac:dyDescent="0.2">
      <c r="F122" s="413"/>
      <c r="G122" s="349"/>
      <c r="H122" s="413"/>
      <c r="I122" s="415" t="s">
        <v>1516</v>
      </c>
      <c r="J122" s="16">
        <v>0.3125</v>
      </c>
      <c r="K122" s="66">
        <v>23.34</v>
      </c>
      <c r="L122" s="425">
        <f t="shared" si="15"/>
        <v>34.733748792952781</v>
      </c>
      <c r="M122" s="426">
        <f>(10*2+2*2)*12/144</f>
        <v>2</v>
      </c>
      <c r="N122" s="425">
        <f t="shared" si="16"/>
        <v>0.60960000092659206</v>
      </c>
    </row>
    <row r="123" spans="6:14" x14ac:dyDescent="0.2">
      <c r="F123" s="413"/>
      <c r="G123" s="349"/>
      <c r="H123" s="413"/>
      <c r="I123" s="415" t="s">
        <v>1516</v>
      </c>
      <c r="J123" s="16">
        <v>0.25</v>
      </c>
      <c r="K123" s="66">
        <v>19.02</v>
      </c>
      <c r="L123" s="425">
        <f t="shared" si="15"/>
        <v>28.304880121763574</v>
      </c>
      <c r="M123" s="426">
        <f>(10*2+2*2)*12/144</f>
        <v>2</v>
      </c>
      <c r="N123" s="425">
        <f t="shared" si="16"/>
        <v>0.60960000092659206</v>
      </c>
    </row>
    <row r="124" spans="6:14" x14ac:dyDescent="0.2">
      <c r="F124" s="413"/>
      <c r="G124" s="349"/>
      <c r="H124" s="413"/>
      <c r="I124" s="415" t="s">
        <v>1516</v>
      </c>
      <c r="J124" s="16">
        <v>0.1875</v>
      </c>
      <c r="K124" s="66">
        <v>14.53</v>
      </c>
      <c r="L124" s="425">
        <f t="shared" si="15"/>
        <v>21.623023563050722</v>
      </c>
      <c r="M124" s="426">
        <f>(10*2+2*2)*12/144</f>
        <v>2</v>
      </c>
      <c r="N124" s="425">
        <f t="shared" si="16"/>
        <v>0.60960000092659206</v>
      </c>
    </row>
    <row r="125" spans="6:14" x14ac:dyDescent="0.2">
      <c r="F125" s="413"/>
      <c r="G125" s="349"/>
      <c r="H125" s="413"/>
      <c r="I125" s="67"/>
      <c r="J125" s="419"/>
      <c r="K125" s="420"/>
      <c r="L125" s="420"/>
      <c r="M125" s="420"/>
      <c r="N125" s="421"/>
    </row>
    <row r="126" spans="6:14" x14ac:dyDescent="0.2">
      <c r="F126" s="413"/>
      <c r="G126" s="349"/>
      <c r="H126" s="413"/>
      <c r="I126" s="415" t="s">
        <v>1690</v>
      </c>
      <c r="J126" s="16">
        <v>0.625</v>
      </c>
      <c r="K126" s="66">
        <v>59.32</v>
      </c>
      <c r="L126" s="425">
        <f t="shared" si="15"/>
        <v>88.277891105311014</v>
      </c>
      <c r="M126" s="426">
        <f>(9*2+7*2)*12/144</f>
        <v>2.6666666666666665</v>
      </c>
      <c r="N126" s="425">
        <f t="shared" si="16"/>
        <v>0.81280000123545593</v>
      </c>
    </row>
    <row r="127" spans="6:14" x14ac:dyDescent="0.2">
      <c r="F127" s="413"/>
      <c r="G127" s="349"/>
      <c r="H127" s="413"/>
      <c r="I127" s="415" t="s">
        <v>1690</v>
      </c>
      <c r="J127" s="16">
        <v>0.5625</v>
      </c>
      <c r="K127" s="66">
        <v>54.17</v>
      </c>
      <c r="L127" s="425">
        <f t="shared" si="15"/>
        <v>80.613846277388689</v>
      </c>
      <c r="M127" s="426">
        <f t="shared" ref="M127:M132" si="21">(9*2+7*2)*12/144</f>
        <v>2.6666666666666665</v>
      </c>
      <c r="N127" s="425">
        <f t="shared" si="16"/>
        <v>0.81280000123545593</v>
      </c>
    </row>
    <row r="128" spans="6:14" x14ac:dyDescent="0.2">
      <c r="F128" s="413"/>
      <c r="G128" s="349"/>
      <c r="H128" s="413"/>
      <c r="I128" s="415" t="s">
        <v>1690</v>
      </c>
      <c r="J128" s="16">
        <v>0.5</v>
      </c>
      <c r="K128" s="66">
        <v>48.85</v>
      </c>
      <c r="L128" s="425">
        <f t="shared" si="15"/>
        <v>72.696813561942733</v>
      </c>
      <c r="M128" s="426">
        <f t="shared" si="21"/>
        <v>2.6666666666666665</v>
      </c>
      <c r="N128" s="425">
        <f t="shared" si="16"/>
        <v>0.81280000123545593</v>
      </c>
    </row>
    <row r="129" spans="6:14" x14ac:dyDescent="0.2">
      <c r="F129" s="413"/>
      <c r="G129" s="349"/>
      <c r="H129" s="413"/>
      <c r="I129" s="415" t="s">
        <v>1690</v>
      </c>
      <c r="J129" s="16">
        <v>0.375</v>
      </c>
      <c r="K129" s="66">
        <v>37.69</v>
      </c>
      <c r="L129" s="425">
        <f t="shared" si="15"/>
        <v>56.088902828037284</v>
      </c>
      <c r="M129" s="426">
        <f t="shared" si="21"/>
        <v>2.6666666666666665</v>
      </c>
      <c r="N129" s="425">
        <f t="shared" si="16"/>
        <v>0.81280000123545593</v>
      </c>
    </row>
    <row r="130" spans="6:14" x14ac:dyDescent="0.2">
      <c r="F130" s="413"/>
      <c r="G130" s="349"/>
      <c r="H130" s="413"/>
      <c r="I130" s="415" t="s">
        <v>1690</v>
      </c>
      <c r="J130" s="16">
        <v>0.3125</v>
      </c>
      <c r="K130" s="66">
        <v>31.84</v>
      </c>
      <c r="L130" s="425">
        <f t="shared" si="15"/>
        <v>47.383143169135238</v>
      </c>
      <c r="M130" s="426">
        <f t="shared" si="21"/>
        <v>2.6666666666666665</v>
      </c>
      <c r="N130" s="425">
        <f t="shared" si="16"/>
        <v>0.81280000123545593</v>
      </c>
    </row>
    <row r="131" spans="6:14" x14ac:dyDescent="0.2">
      <c r="F131" s="413"/>
      <c r="G131" s="349"/>
      <c r="H131" s="413"/>
      <c r="I131" s="415" t="s">
        <v>1690</v>
      </c>
      <c r="J131" s="16">
        <v>0.25</v>
      </c>
      <c r="K131" s="66">
        <v>25.82</v>
      </c>
      <c r="L131" s="425">
        <f t="shared" si="15"/>
        <v>38.42439562270954</v>
      </c>
      <c r="M131" s="426">
        <f t="shared" si="21"/>
        <v>2.6666666666666665</v>
      </c>
      <c r="N131" s="425">
        <f t="shared" si="16"/>
        <v>0.81280000123545593</v>
      </c>
    </row>
    <row r="132" spans="6:14" x14ac:dyDescent="0.2">
      <c r="F132" s="413"/>
      <c r="G132" s="349"/>
      <c r="H132" s="413"/>
      <c r="I132" s="415" t="s">
        <v>1690</v>
      </c>
      <c r="J132" s="16">
        <v>0.1875</v>
      </c>
      <c r="K132" s="66">
        <v>19.63</v>
      </c>
      <c r="L132" s="425">
        <f t="shared" si="15"/>
        <v>29.2126601887602</v>
      </c>
      <c r="M132" s="426">
        <f t="shared" si="21"/>
        <v>2.6666666666666665</v>
      </c>
      <c r="N132" s="425">
        <f t="shared" si="16"/>
        <v>0.81280000123545593</v>
      </c>
    </row>
    <row r="133" spans="6:14" x14ac:dyDescent="0.2">
      <c r="F133" s="413"/>
      <c r="G133" s="349"/>
      <c r="H133" s="413"/>
      <c r="I133" s="67"/>
      <c r="J133" s="419"/>
      <c r="K133" s="420"/>
      <c r="L133" s="420"/>
      <c r="M133" s="420"/>
      <c r="N133" s="421"/>
    </row>
    <row r="134" spans="6:14" x14ac:dyDescent="0.2">
      <c r="F134" s="413"/>
      <c r="G134" s="349"/>
      <c r="H134" s="413"/>
      <c r="I134" s="415" t="s">
        <v>1691</v>
      </c>
      <c r="J134" s="16">
        <v>0.625</v>
      </c>
      <c r="K134" s="66">
        <v>55.06</v>
      </c>
      <c r="L134" s="425">
        <f t="shared" si="15"/>
        <v>81.938312276777211</v>
      </c>
      <c r="M134" s="426">
        <f>(9*2+6*2)*12/144</f>
        <v>2.5</v>
      </c>
      <c r="N134" s="425">
        <f t="shared" si="16"/>
        <v>0.76200000115824007</v>
      </c>
    </row>
    <row r="135" spans="6:14" x14ac:dyDescent="0.2">
      <c r="F135" s="413"/>
      <c r="G135" s="349"/>
      <c r="H135" s="413"/>
      <c r="I135" s="415" t="s">
        <v>1691</v>
      </c>
      <c r="J135" s="16">
        <v>0.5625</v>
      </c>
      <c r="K135" s="66">
        <v>50.34</v>
      </c>
      <c r="L135" s="425">
        <f t="shared" si="15"/>
        <v>74.91417798788531</v>
      </c>
      <c r="M135" s="426">
        <f t="shared" ref="M135:M140" si="22">(9*2+6*2)*12/144</f>
        <v>2.5</v>
      </c>
      <c r="N135" s="425">
        <f t="shared" si="16"/>
        <v>0.76200000115824007</v>
      </c>
    </row>
    <row r="136" spans="6:14" x14ac:dyDescent="0.2">
      <c r="F136" s="413"/>
      <c r="G136" s="349"/>
      <c r="H136" s="413"/>
      <c r="I136" s="415" t="s">
        <v>1691</v>
      </c>
      <c r="J136" s="16">
        <v>0.5</v>
      </c>
      <c r="K136" s="66">
        <v>45.45</v>
      </c>
      <c r="L136" s="425">
        <f t="shared" si="15"/>
        <v>67.63705581146975</v>
      </c>
      <c r="M136" s="426">
        <f t="shared" si="22"/>
        <v>2.5</v>
      </c>
      <c r="N136" s="425">
        <f t="shared" si="16"/>
        <v>0.76200000115824007</v>
      </c>
    </row>
    <row r="137" spans="6:14" x14ac:dyDescent="0.2">
      <c r="F137" s="413"/>
      <c r="G137" s="349"/>
      <c r="H137" s="413"/>
      <c r="I137" s="415" t="s">
        <v>1691</v>
      </c>
      <c r="J137" s="16">
        <v>0.375</v>
      </c>
      <c r="K137" s="66">
        <v>35.130000000000003</v>
      </c>
      <c r="L137" s="425">
        <f t="shared" si="15"/>
        <v>52.279202874739987</v>
      </c>
      <c r="M137" s="426">
        <f t="shared" si="22"/>
        <v>2.5</v>
      </c>
      <c r="N137" s="425">
        <f t="shared" si="16"/>
        <v>0.76200000115824007</v>
      </c>
    </row>
    <row r="138" spans="6:14" x14ac:dyDescent="0.2">
      <c r="F138" s="413"/>
      <c r="G138" s="349"/>
      <c r="H138" s="413"/>
      <c r="I138" s="415" t="s">
        <v>1691</v>
      </c>
      <c r="J138" s="16">
        <v>0.3125</v>
      </c>
      <c r="K138" s="66">
        <v>29.72</v>
      </c>
      <c r="L138" s="425">
        <f t="shared" si="15"/>
        <v>44.228235395310911</v>
      </c>
      <c r="M138" s="426">
        <f t="shared" si="22"/>
        <v>2.5</v>
      </c>
      <c r="N138" s="425">
        <f t="shared" si="16"/>
        <v>0.76200000115824007</v>
      </c>
    </row>
    <row r="139" spans="6:14" x14ac:dyDescent="0.2">
      <c r="F139" s="413"/>
      <c r="G139" s="349"/>
      <c r="H139" s="413"/>
      <c r="I139" s="415" t="s">
        <v>1691</v>
      </c>
      <c r="J139" s="16">
        <v>0.25</v>
      </c>
      <c r="K139" s="66">
        <v>24.12</v>
      </c>
      <c r="L139" s="425">
        <f t="shared" si="15"/>
        <v>35.894516747473055</v>
      </c>
      <c r="M139" s="426">
        <f t="shared" si="22"/>
        <v>2.5</v>
      </c>
      <c r="N139" s="425">
        <f t="shared" si="16"/>
        <v>0.76200000115824007</v>
      </c>
    </row>
    <row r="140" spans="6:14" x14ac:dyDescent="0.2">
      <c r="F140" s="413"/>
      <c r="G140" s="349"/>
      <c r="H140" s="413"/>
      <c r="I140" s="415" t="s">
        <v>1691</v>
      </c>
      <c r="J140" s="16">
        <v>0.1875</v>
      </c>
      <c r="K140" s="66">
        <v>18.350000000000001</v>
      </c>
      <c r="L140" s="425">
        <f t="shared" si="15"/>
        <v>27.307810212111551</v>
      </c>
      <c r="M140" s="426">
        <f t="shared" si="22"/>
        <v>2.5</v>
      </c>
      <c r="N140" s="425">
        <f t="shared" si="16"/>
        <v>0.76200000115824007</v>
      </c>
    </row>
    <row r="141" spans="6:14" x14ac:dyDescent="0.2">
      <c r="F141" s="413"/>
      <c r="G141" s="349"/>
      <c r="H141" s="413"/>
      <c r="I141" s="67"/>
      <c r="J141" s="419"/>
      <c r="K141" s="420"/>
      <c r="L141" s="420"/>
      <c r="M141" s="420"/>
      <c r="N141" s="421"/>
    </row>
    <row r="142" spans="6:14" x14ac:dyDescent="0.2">
      <c r="F142" s="413"/>
      <c r="G142" s="349"/>
      <c r="H142" s="413"/>
      <c r="I142" s="415" t="s">
        <v>1692</v>
      </c>
      <c r="J142" s="16">
        <v>0.5625</v>
      </c>
      <c r="K142" s="66">
        <v>46.51</v>
      </c>
      <c r="L142" s="425">
        <f t="shared" si="15"/>
        <v>69.214509698381903</v>
      </c>
      <c r="M142" s="426">
        <f t="shared" ref="M142:M147" si="23">(9*2+5*2)*12/144</f>
        <v>2.3333333333333335</v>
      </c>
      <c r="N142" s="425">
        <f t="shared" si="16"/>
        <v>0.7112000010810241</v>
      </c>
    </row>
    <row r="143" spans="6:14" x14ac:dyDescent="0.2">
      <c r="F143" s="413"/>
      <c r="G143" s="349"/>
      <c r="H143" s="413"/>
      <c r="I143" s="415" t="s">
        <v>1692</v>
      </c>
      <c r="J143" s="16">
        <v>0.5</v>
      </c>
      <c r="K143" s="66">
        <v>42.05</v>
      </c>
      <c r="L143" s="425">
        <f t="shared" si="15"/>
        <v>62.57729806099676</v>
      </c>
      <c r="M143" s="426">
        <f t="shared" si="23"/>
        <v>2.3333333333333335</v>
      </c>
      <c r="N143" s="425">
        <f t="shared" si="16"/>
        <v>0.7112000010810241</v>
      </c>
    </row>
    <row r="144" spans="6:14" x14ac:dyDescent="0.2">
      <c r="F144" s="413"/>
      <c r="G144" s="349"/>
      <c r="H144" s="413"/>
      <c r="I144" s="415" t="s">
        <v>1692</v>
      </c>
      <c r="J144" s="16">
        <v>0.375</v>
      </c>
      <c r="K144" s="66">
        <v>32.58</v>
      </c>
      <c r="L144" s="425">
        <f t="shared" si="15"/>
        <v>48.484384561885243</v>
      </c>
      <c r="M144" s="426">
        <f t="shared" si="23"/>
        <v>2.3333333333333335</v>
      </c>
      <c r="N144" s="425">
        <f t="shared" si="16"/>
        <v>0.7112000010810241</v>
      </c>
    </row>
    <row r="145" spans="6:14" x14ac:dyDescent="0.2">
      <c r="F145" s="413"/>
      <c r="G145" s="349"/>
      <c r="H145" s="413"/>
      <c r="I145" s="415" t="s">
        <v>1692</v>
      </c>
      <c r="J145" s="16">
        <v>0.3125</v>
      </c>
      <c r="K145" s="66">
        <v>27.59</v>
      </c>
      <c r="L145" s="425">
        <f t="shared" si="15"/>
        <v>41.058445981044009</v>
      </c>
      <c r="M145" s="426">
        <f t="shared" si="23"/>
        <v>2.3333333333333335</v>
      </c>
      <c r="N145" s="425">
        <f t="shared" si="16"/>
        <v>0.7112000010810241</v>
      </c>
    </row>
    <row r="146" spans="6:14" x14ac:dyDescent="0.2">
      <c r="F146" s="413"/>
      <c r="G146" s="349"/>
      <c r="H146" s="413"/>
      <c r="I146" s="415" t="s">
        <v>1692</v>
      </c>
      <c r="J146" s="16">
        <v>0.25</v>
      </c>
      <c r="K146" s="66">
        <v>22.42</v>
      </c>
      <c r="L146" s="425">
        <f t="shared" si="15"/>
        <v>33.364637872236564</v>
      </c>
      <c r="M146" s="426">
        <f t="shared" si="23"/>
        <v>2.3333333333333335</v>
      </c>
      <c r="N146" s="425">
        <f t="shared" si="16"/>
        <v>0.7112000010810241</v>
      </c>
    </row>
    <row r="147" spans="6:14" x14ac:dyDescent="0.2">
      <c r="F147" s="413"/>
      <c r="G147" s="349"/>
      <c r="H147" s="413"/>
      <c r="I147" s="415" t="s">
        <v>1692</v>
      </c>
      <c r="J147" s="16">
        <v>0.1875</v>
      </c>
      <c r="K147" s="66">
        <v>17.079999999999998</v>
      </c>
      <c r="L147" s="425">
        <f t="shared" si="15"/>
        <v>25.417841875905459</v>
      </c>
      <c r="M147" s="426">
        <f t="shared" si="23"/>
        <v>2.3333333333333335</v>
      </c>
      <c r="N147" s="425">
        <f t="shared" si="16"/>
        <v>0.7112000010810241</v>
      </c>
    </row>
    <row r="148" spans="6:14" x14ac:dyDescent="0.2">
      <c r="F148" s="413"/>
      <c r="G148" s="349"/>
      <c r="H148" s="413"/>
      <c r="I148" s="67"/>
      <c r="J148" s="419"/>
      <c r="K148" s="420"/>
      <c r="L148" s="420"/>
      <c r="M148" s="420"/>
      <c r="N148" s="421"/>
    </row>
    <row r="149" spans="6:14" x14ac:dyDescent="0.2">
      <c r="F149" s="413"/>
      <c r="G149" s="349"/>
      <c r="H149" s="413"/>
      <c r="I149" s="415" t="s">
        <v>1693</v>
      </c>
      <c r="J149" s="16">
        <v>0.5</v>
      </c>
      <c r="K149" s="66">
        <v>35.24</v>
      </c>
      <c r="L149" s="425">
        <f t="shared" si="15"/>
        <v>52.442900919608228</v>
      </c>
      <c r="M149" s="426">
        <f>(9*2+3*2)*12/144</f>
        <v>2</v>
      </c>
      <c r="N149" s="425">
        <f t="shared" si="16"/>
        <v>0.60960000092659206</v>
      </c>
    </row>
    <row r="150" spans="6:14" x14ac:dyDescent="0.2">
      <c r="F150" s="413"/>
      <c r="G150" s="349"/>
      <c r="H150" s="413"/>
      <c r="I150" s="415" t="s">
        <v>1693</v>
      </c>
      <c r="J150" s="16">
        <v>0.375</v>
      </c>
      <c r="K150" s="66">
        <v>27.48</v>
      </c>
      <c r="L150" s="425">
        <f t="shared" si="15"/>
        <v>40.894747936175769</v>
      </c>
      <c r="M150" s="426">
        <f>(9*2+3*2)*12/144</f>
        <v>2</v>
      </c>
      <c r="N150" s="425">
        <f t="shared" si="16"/>
        <v>0.60960000092659206</v>
      </c>
    </row>
    <row r="151" spans="6:14" x14ac:dyDescent="0.2">
      <c r="F151" s="413"/>
      <c r="G151" s="349"/>
      <c r="H151" s="413"/>
      <c r="I151" s="415" t="s">
        <v>1693</v>
      </c>
      <c r="J151" s="16">
        <v>0.3125</v>
      </c>
      <c r="K151" s="66">
        <v>23.34</v>
      </c>
      <c r="L151" s="425">
        <f t="shared" ref="L151:L214" si="24">K151*3.2808399*0.4535924</f>
        <v>34.733748792952781</v>
      </c>
      <c r="M151" s="426">
        <f>(9*2+3*2)*12/144</f>
        <v>2</v>
      </c>
      <c r="N151" s="425">
        <f t="shared" ref="N151:N214" si="25">(M151*3.2808399)*0.09290304</f>
        <v>0.60960000092659206</v>
      </c>
    </row>
    <row r="152" spans="6:14" x14ac:dyDescent="0.2">
      <c r="F152" s="413"/>
      <c r="G152" s="349"/>
      <c r="H152" s="413"/>
      <c r="I152" s="415" t="s">
        <v>1693</v>
      </c>
      <c r="J152" s="16">
        <v>0.25</v>
      </c>
      <c r="K152" s="66">
        <v>19.02</v>
      </c>
      <c r="L152" s="425">
        <f t="shared" si="24"/>
        <v>28.304880121763574</v>
      </c>
      <c r="M152" s="426">
        <f>(9*2+3*2)*12/144</f>
        <v>2</v>
      </c>
      <c r="N152" s="425">
        <f t="shared" si="25"/>
        <v>0.60960000092659206</v>
      </c>
    </row>
    <row r="153" spans="6:14" x14ac:dyDescent="0.2">
      <c r="F153" s="413"/>
      <c r="G153" s="349"/>
      <c r="H153" s="413"/>
      <c r="I153" s="415" t="s">
        <v>1693</v>
      </c>
      <c r="J153" s="16">
        <v>0.1875</v>
      </c>
      <c r="K153" s="66">
        <v>14.53</v>
      </c>
      <c r="L153" s="425">
        <f t="shared" si="24"/>
        <v>21.623023563050722</v>
      </c>
      <c r="M153" s="426">
        <f>(9*2+3*2)*12/144</f>
        <v>2</v>
      </c>
      <c r="N153" s="425">
        <f t="shared" si="25"/>
        <v>0.60960000092659206</v>
      </c>
    </row>
    <row r="154" spans="6:14" x14ac:dyDescent="0.2">
      <c r="F154" s="413"/>
      <c r="G154" s="349"/>
      <c r="H154" s="413"/>
      <c r="I154" s="67"/>
      <c r="J154" s="419"/>
      <c r="K154" s="420"/>
      <c r="L154" s="420"/>
      <c r="M154" s="420"/>
      <c r="N154" s="421"/>
    </row>
    <row r="155" spans="6:14" x14ac:dyDescent="0.2">
      <c r="F155" s="413"/>
      <c r="G155" s="349"/>
      <c r="H155" s="413"/>
      <c r="I155" s="415" t="s">
        <v>1517</v>
      </c>
      <c r="J155" s="16">
        <v>0.5625</v>
      </c>
      <c r="K155" s="66">
        <v>46.51</v>
      </c>
      <c r="L155" s="425">
        <f t="shared" si="24"/>
        <v>69.214509698381903</v>
      </c>
      <c r="M155" s="426">
        <f t="shared" ref="M155:M160" si="26">(8*2+6*2)*12/144</f>
        <v>2.3333333333333335</v>
      </c>
      <c r="N155" s="425">
        <f t="shared" si="25"/>
        <v>0.7112000010810241</v>
      </c>
    </row>
    <row r="156" spans="6:14" x14ac:dyDescent="0.2">
      <c r="F156" s="413"/>
      <c r="G156" s="349"/>
      <c r="H156" s="413"/>
      <c r="I156" s="415" t="s">
        <v>1517</v>
      </c>
      <c r="J156" s="16">
        <v>0.5</v>
      </c>
      <c r="K156" s="66">
        <v>42.05</v>
      </c>
      <c r="L156" s="425">
        <f t="shared" si="24"/>
        <v>62.57729806099676</v>
      </c>
      <c r="M156" s="426">
        <f t="shared" si="26"/>
        <v>2.3333333333333335</v>
      </c>
      <c r="N156" s="425">
        <f t="shared" si="25"/>
        <v>0.7112000010810241</v>
      </c>
    </row>
    <row r="157" spans="6:14" x14ac:dyDescent="0.2">
      <c r="F157" s="413"/>
      <c r="G157" s="349"/>
      <c r="H157" s="413"/>
      <c r="I157" s="415" t="s">
        <v>1517</v>
      </c>
      <c r="J157" s="16">
        <v>0.375</v>
      </c>
      <c r="K157" s="66">
        <v>32.58</v>
      </c>
      <c r="L157" s="425">
        <f t="shared" si="24"/>
        <v>48.484384561885243</v>
      </c>
      <c r="M157" s="426">
        <f t="shared" si="26"/>
        <v>2.3333333333333335</v>
      </c>
      <c r="N157" s="425">
        <f t="shared" si="25"/>
        <v>0.7112000010810241</v>
      </c>
    </row>
    <row r="158" spans="6:14" x14ac:dyDescent="0.2">
      <c r="F158" s="413"/>
      <c r="G158" s="349"/>
      <c r="H158" s="413"/>
      <c r="I158" s="415" t="s">
        <v>1517</v>
      </c>
      <c r="J158" s="16">
        <v>0.3125</v>
      </c>
      <c r="K158" s="66">
        <v>27.59</v>
      </c>
      <c r="L158" s="425">
        <f t="shared" si="24"/>
        <v>41.058445981044009</v>
      </c>
      <c r="M158" s="426">
        <f t="shared" si="26"/>
        <v>2.3333333333333335</v>
      </c>
      <c r="N158" s="425">
        <f t="shared" si="25"/>
        <v>0.7112000010810241</v>
      </c>
    </row>
    <row r="159" spans="6:14" x14ac:dyDescent="0.2">
      <c r="F159" s="413"/>
      <c r="G159" s="349"/>
      <c r="H159" s="413"/>
      <c r="I159" s="415" t="s">
        <v>1517</v>
      </c>
      <c r="J159" s="16">
        <v>0.25</v>
      </c>
      <c r="K159" s="66">
        <v>22.42</v>
      </c>
      <c r="L159" s="425">
        <f t="shared" si="24"/>
        <v>33.364637872236564</v>
      </c>
      <c r="M159" s="426">
        <f t="shared" si="26"/>
        <v>2.3333333333333335</v>
      </c>
      <c r="N159" s="425">
        <f t="shared" si="25"/>
        <v>0.7112000010810241</v>
      </c>
    </row>
    <row r="160" spans="6:14" x14ac:dyDescent="0.2">
      <c r="F160" s="413"/>
      <c r="G160" s="349"/>
      <c r="H160" s="413"/>
      <c r="I160" s="415" t="s">
        <v>1517</v>
      </c>
      <c r="J160" s="16">
        <v>0.1875</v>
      </c>
      <c r="K160" s="66">
        <v>17.079999999999998</v>
      </c>
      <c r="L160" s="425">
        <f t="shared" si="24"/>
        <v>25.417841875905459</v>
      </c>
      <c r="M160" s="426">
        <f t="shared" si="26"/>
        <v>2.3333333333333335</v>
      </c>
      <c r="N160" s="425">
        <f t="shared" si="25"/>
        <v>0.7112000010810241</v>
      </c>
    </row>
    <row r="161" spans="6:14" x14ac:dyDescent="0.2">
      <c r="F161" s="413"/>
      <c r="G161" s="349"/>
      <c r="H161" s="413"/>
      <c r="I161" s="67"/>
      <c r="J161" s="419"/>
      <c r="K161" s="420"/>
      <c r="L161" s="420"/>
      <c r="M161" s="420"/>
      <c r="N161" s="421"/>
    </row>
    <row r="162" spans="6:14" x14ac:dyDescent="0.2">
      <c r="F162" s="413"/>
      <c r="G162" s="349"/>
      <c r="H162" s="413"/>
      <c r="I162" s="415" t="s">
        <v>1518</v>
      </c>
      <c r="J162" s="16">
        <v>0.5625</v>
      </c>
      <c r="K162" s="66">
        <v>38.86</v>
      </c>
      <c r="L162" s="425">
        <f t="shared" si="24"/>
        <v>57.830054759817699</v>
      </c>
      <c r="M162" s="426">
        <f t="shared" ref="M162:M167" si="27">(8*2+4*2)*12/144</f>
        <v>2</v>
      </c>
      <c r="N162" s="425">
        <f t="shared" si="25"/>
        <v>0.60960000092659206</v>
      </c>
    </row>
    <row r="163" spans="6:14" x14ac:dyDescent="0.2">
      <c r="F163" s="413"/>
      <c r="G163" s="349"/>
      <c r="H163" s="413"/>
      <c r="I163" s="415" t="s">
        <v>1518</v>
      </c>
      <c r="J163" s="16">
        <v>0.5</v>
      </c>
      <c r="K163" s="66">
        <v>35.24</v>
      </c>
      <c r="L163" s="425">
        <f t="shared" si="24"/>
        <v>52.442900919608228</v>
      </c>
      <c r="M163" s="426">
        <f t="shared" si="27"/>
        <v>2</v>
      </c>
      <c r="N163" s="425">
        <f t="shared" si="25"/>
        <v>0.60960000092659206</v>
      </c>
    </row>
    <row r="164" spans="6:14" x14ac:dyDescent="0.2">
      <c r="F164" s="413"/>
      <c r="G164" s="349"/>
      <c r="H164" s="413"/>
      <c r="I164" s="415" t="s">
        <v>1518</v>
      </c>
      <c r="J164" s="16">
        <v>0.375</v>
      </c>
      <c r="K164" s="66">
        <v>27.48</v>
      </c>
      <c r="L164" s="425">
        <f t="shared" si="24"/>
        <v>40.894747936175769</v>
      </c>
      <c r="M164" s="426">
        <f t="shared" si="27"/>
        <v>2</v>
      </c>
      <c r="N164" s="425">
        <f t="shared" si="25"/>
        <v>0.60960000092659206</v>
      </c>
    </row>
    <row r="165" spans="6:14" x14ac:dyDescent="0.2">
      <c r="F165" s="413"/>
      <c r="G165" s="349"/>
      <c r="H165" s="413"/>
      <c r="I165" s="415" t="s">
        <v>1518</v>
      </c>
      <c r="J165" s="16">
        <v>0.3125</v>
      </c>
      <c r="K165" s="66">
        <v>23.34</v>
      </c>
      <c r="L165" s="425">
        <f t="shared" si="24"/>
        <v>34.733748792952781</v>
      </c>
      <c r="M165" s="426">
        <f t="shared" si="27"/>
        <v>2</v>
      </c>
      <c r="N165" s="425">
        <f t="shared" si="25"/>
        <v>0.60960000092659206</v>
      </c>
    </row>
    <row r="166" spans="6:14" x14ac:dyDescent="0.2">
      <c r="F166" s="413"/>
      <c r="G166" s="349"/>
      <c r="H166" s="413"/>
      <c r="I166" s="415" t="s">
        <v>1518</v>
      </c>
      <c r="J166" s="16">
        <v>0.25</v>
      </c>
      <c r="K166" s="66">
        <v>19.02</v>
      </c>
      <c r="L166" s="425">
        <f t="shared" si="24"/>
        <v>28.304880121763574</v>
      </c>
      <c r="M166" s="426">
        <f t="shared" si="27"/>
        <v>2</v>
      </c>
      <c r="N166" s="425">
        <f t="shared" si="25"/>
        <v>0.60960000092659206</v>
      </c>
    </row>
    <row r="167" spans="6:14" x14ac:dyDescent="0.2">
      <c r="F167" s="413"/>
      <c r="G167" s="349"/>
      <c r="H167" s="413"/>
      <c r="I167" s="415" t="s">
        <v>1518</v>
      </c>
      <c r="J167" s="16">
        <v>0.1875</v>
      </c>
      <c r="K167" s="66">
        <v>14.53</v>
      </c>
      <c r="L167" s="425">
        <f t="shared" si="24"/>
        <v>21.623023563050722</v>
      </c>
      <c r="M167" s="426">
        <f t="shared" si="27"/>
        <v>2</v>
      </c>
      <c r="N167" s="425">
        <f t="shared" si="25"/>
        <v>0.60960000092659206</v>
      </c>
    </row>
    <row r="168" spans="6:14" x14ac:dyDescent="0.2">
      <c r="F168" s="413"/>
      <c r="G168" s="349"/>
      <c r="H168" s="413"/>
      <c r="I168" s="67"/>
      <c r="J168" s="419"/>
      <c r="K168" s="420"/>
      <c r="L168" s="420"/>
      <c r="M168" s="420"/>
      <c r="N168" s="421"/>
    </row>
    <row r="169" spans="6:14" x14ac:dyDescent="0.2">
      <c r="F169" s="413"/>
      <c r="G169" s="349"/>
      <c r="H169" s="413"/>
      <c r="I169" s="415" t="s">
        <v>1519</v>
      </c>
      <c r="J169" s="16">
        <v>0.5</v>
      </c>
      <c r="K169" s="66">
        <v>31.84</v>
      </c>
      <c r="L169" s="425">
        <f t="shared" si="24"/>
        <v>47.383143169135238</v>
      </c>
      <c r="M169" s="426">
        <f>(8*2+3*2)*12/144</f>
        <v>1.8333333333333333</v>
      </c>
      <c r="N169" s="425">
        <f t="shared" si="25"/>
        <v>0.55880000084937598</v>
      </c>
    </row>
    <row r="170" spans="6:14" x14ac:dyDescent="0.2">
      <c r="F170" s="413"/>
      <c r="G170" s="349"/>
      <c r="H170" s="413"/>
      <c r="I170" s="415" t="s">
        <v>1519</v>
      </c>
      <c r="J170" s="16">
        <v>0.375</v>
      </c>
      <c r="K170" s="66">
        <v>24.93</v>
      </c>
      <c r="L170" s="425">
        <f t="shared" si="24"/>
        <v>37.099929623321032</v>
      </c>
      <c r="M170" s="426">
        <f>(8*2+3*2)*12/144</f>
        <v>1.8333333333333333</v>
      </c>
      <c r="N170" s="425">
        <f t="shared" si="25"/>
        <v>0.55880000084937598</v>
      </c>
    </row>
    <row r="171" spans="6:14" x14ac:dyDescent="0.2">
      <c r="F171" s="413"/>
      <c r="G171" s="349"/>
      <c r="H171" s="413"/>
      <c r="I171" s="415" t="s">
        <v>1519</v>
      </c>
      <c r="J171" s="16">
        <v>0.3125</v>
      </c>
      <c r="K171" s="66">
        <v>21.21</v>
      </c>
      <c r="L171" s="425">
        <f t="shared" si="24"/>
        <v>31.56395937868588</v>
      </c>
      <c r="M171" s="426">
        <f>(8*2+3*2)*12/144</f>
        <v>1.8333333333333333</v>
      </c>
      <c r="N171" s="425">
        <f t="shared" si="25"/>
        <v>0.55880000084937598</v>
      </c>
    </row>
    <row r="172" spans="6:14" x14ac:dyDescent="0.2">
      <c r="F172" s="413"/>
      <c r="G172" s="349"/>
      <c r="H172" s="413"/>
      <c r="I172" s="415" t="s">
        <v>1519</v>
      </c>
      <c r="J172" s="16">
        <v>0.25</v>
      </c>
      <c r="K172" s="66">
        <v>17.32</v>
      </c>
      <c r="L172" s="425">
        <f t="shared" si="24"/>
        <v>25.775001246527083</v>
      </c>
      <c r="M172" s="426">
        <f>(8*2+3*2)*12/144</f>
        <v>1.8333333333333333</v>
      </c>
      <c r="N172" s="425">
        <f t="shared" si="25"/>
        <v>0.55880000084937598</v>
      </c>
    </row>
    <row r="173" spans="6:14" x14ac:dyDescent="0.2">
      <c r="F173" s="413"/>
      <c r="G173" s="349"/>
      <c r="H173" s="413"/>
      <c r="I173" s="415" t="s">
        <v>1519</v>
      </c>
      <c r="J173" s="16">
        <v>0.1875</v>
      </c>
      <c r="K173" s="66">
        <v>13.25</v>
      </c>
      <c r="L173" s="425">
        <f t="shared" si="24"/>
        <v>19.71817358640207</v>
      </c>
      <c r="M173" s="426">
        <f>(8*2+3*2)*12/144</f>
        <v>1.8333333333333333</v>
      </c>
      <c r="N173" s="425">
        <f t="shared" si="25"/>
        <v>0.55880000084937598</v>
      </c>
    </row>
    <row r="174" spans="6:14" x14ac:dyDescent="0.2">
      <c r="F174" s="413"/>
      <c r="G174" s="349"/>
      <c r="H174" s="413"/>
      <c r="I174" s="67"/>
      <c r="J174" s="419"/>
      <c r="K174" s="420"/>
      <c r="L174" s="420"/>
      <c r="M174" s="420"/>
      <c r="N174" s="421"/>
    </row>
    <row r="175" spans="6:14" x14ac:dyDescent="0.2">
      <c r="F175" s="413"/>
      <c r="G175" s="349"/>
      <c r="H175" s="413"/>
      <c r="I175" s="415" t="s">
        <v>1520</v>
      </c>
      <c r="J175" s="16">
        <v>0.375</v>
      </c>
      <c r="K175" s="66">
        <v>22.37</v>
      </c>
      <c r="L175" s="425">
        <f t="shared" si="24"/>
        <v>33.290229670023727</v>
      </c>
      <c r="M175" s="426">
        <f>(8*2+2*2)*12/144</f>
        <v>1.6666666666666667</v>
      </c>
      <c r="N175" s="425">
        <f t="shared" si="25"/>
        <v>0.50800000077216012</v>
      </c>
    </row>
    <row r="176" spans="6:14" x14ac:dyDescent="0.2">
      <c r="F176" s="413"/>
      <c r="G176" s="349"/>
      <c r="H176" s="413"/>
      <c r="I176" s="415" t="s">
        <v>1520</v>
      </c>
      <c r="J176" s="16">
        <v>0.3125</v>
      </c>
      <c r="K176" s="66">
        <v>19.079999999999998</v>
      </c>
      <c r="L176" s="425">
        <f t="shared" si="24"/>
        <v>28.394169964418978</v>
      </c>
      <c r="M176" s="426">
        <f>(8*2+2*2)*12/144</f>
        <v>1.6666666666666667</v>
      </c>
      <c r="N176" s="425">
        <f t="shared" si="25"/>
        <v>0.50800000077216012</v>
      </c>
    </row>
    <row r="177" spans="6:14" x14ac:dyDescent="0.2">
      <c r="F177" s="413"/>
      <c r="G177" s="349"/>
      <c r="H177" s="413"/>
      <c r="I177" s="415" t="s">
        <v>1520</v>
      </c>
      <c r="J177" s="16">
        <v>0.25</v>
      </c>
      <c r="K177" s="66">
        <v>15.62</v>
      </c>
      <c r="L177" s="425">
        <f t="shared" si="24"/>
        <v>23.245122371290591</v>
      </c>
      <c r="M177" s="426">
        <f>(8*2+2*2)*12/144</f>
        <v>1.6666666666666667</v>
      </c>
      <c r="N177" s="425">
        <f t="shared" si="25"/>
        <v>0.50800000077216012</v>
      </c>
    </row>
    <row r="178" spans="6:14" x14ac:dyDescent="0.2">
      <c r="F178" s="413"/>
      <c r="G178" s="349"/>
      <c r="H178" s="413"/>
      <c r="I178" s="415" t="s">
        <v>1520</v>
      </c>
      <c r="J178" s="16">
        <v>0.1875</v>
      </c>
      <c r="K178" s="66">
        <v>11.97</v>
      </c>
      <c r="L178" s="425">
        <f t="shared" si="24"/>
        <v>17.813323609753418</v>
      </c>
      <c r="M178" s="426">
        <f>(8*2+2*2)*12/144</f>
        <v>1.6666666666666667</v>
      </c>
      <c r="N178" s="425">
        <f t="shared" si="25"/>
        <v>0.50800000077216012</v>
      </c>
    </row>
    <row r="179" spans="6:14" x14ac:dyDescent="0.2">
      <c r="F179" s="413"/>
      <c r="G179" s="349"/>
      <c r="H179" s="413"/>
      <c r="I179" s="67"/>
      <c r="J179" s="419"/>
      <c r="K179" s="420"/>
      <c r="L179" s="420"/>
      <c r="M179" s="420"/>
      <c r="N179" s="421"/>
    </row>
    <row r="180" spans="6:14" x14ac:dyDescent="0.2">
      <c r="F180" s="413"/>
      <c r="G180" s="349"/>
      <c r="H180" s="413"/>
      <c r="I180" s="415" t="s">
        <v>1521</v>
      </c>
      <c r="J180" s="16">
        <v>0.5</v>
      </c>
      <c r="K180" s="66">
        <v>35.24</v>
      </c>
      <c r="L180" s="425">
        <f t="shared" si="24"/>
        <v>52.442900919608228</v>
      </c>
      <c r="M180" s="426">
        <f>(7*2+5*2)*12/144</f>
        <v>2</v>
      </c>
      <c r="N180" s="425">
        <f t="shared" si="25"/>
        <v>0.60960000092659206</v>
      </c>
    </row>
    <row r="181" spans="6:14" x14ac:dyDescent="0.2">
      <c r="F181" s="413"/>
      <c r="G181" s="349"/>
      <c r="H181" s="413"/>
      <c r="I181" s="415" t="s">
        <v>1521</v>
      </c>
      <c r="J181" s="16">
        <v>0.375</v>
      </c>
      <c r="K181" s="66">
        <v>27.48</v>
      </c>
      <c r="L181" s="425">
        <f t="shared" si="24"/>
        <v>40.894747936175769</v>
      </c>
      <c r="M181" s="426">
        <f>(7*2+5*2)*12/144</f>
        <v>2</v>
      </c>
      <c r="N181" s="425">
        <f t="shared" si="25"/>
        <v>0.60960000092659206</v>
      </c>
    </row>
    <row r="182" spans="6:14" x14ac:dyDescent="0.2">
      <c r="F182" s="413"/>
      <c r="G182" s="349"/>
      <c r="H182" s="413"/>
      <c r="I182" s="415" t="s">
        <v>1521</v>
      </c>
      <c r="J182" s="16">
        <v>0.3125</v>
      </c>
      <c r="K182" s="66">
        <v>23.34</v>
      </c>
      <c r="L182" s="425">
        <f t="shared" si="24"/>
        <v>34.733748792952781</v>
      </c>
      <c r="M182" s="426">
        <f>(7*2+5*2)*12/144</f>
        <v>2</v>
      </c>
      <c r="N182" s="425">
        <f t="shared" si="25"/>
        <v>0.60960000092659206</v>
      </c>
    </row>
    <row r="183" spans="6:14" x14ac:dyDescent="0.2">
      <c r="F183" s="413"/>
      <c r="G183" s="349"/>
      <c r="H183" s="413"/>
      <c r="I183" s="415" t="s">
        <v>1521</v>
      </c>
      <c r="J183" s="16">
        <v>0.25</v>
      </c>
      <c r="K183" s="66">
        <v>19.02</v>
      </c>
      <c r="L183" s="425">
        <f t="shared" si="24"/>
        <v>28.304880121763574</v>
      </c>
      <c r="M183" s="426">
        <f>(7*2+5*2)*12/144</f>
        <v>2</v>
      </c>
      <c r="N183" s="425">
        <f t="shared" si="25"/>
        <v>0.60960000092659206</v>
      </c>
    </row>
    <row r="184" spans="6:14" x14ac:dyDescent="0.2">
      <c r="F184" s="413"/>
      <c r="G184" s="349"/>
      <c r="H184" s="413"/>
      <c r="I184" s="415" t="s">
        <v>1521</v>
      </c>
      <c r="J184" s="16">
        <v>0.1875</v>
      </c>
      <c r="K184" s="66">
        <v>14.53</v>
      </c>
      <c r="L184" s="425">
        <f t="shared" si="24"/>
        <v>21.623023563050722</v>
      </c>
      <c r="M184" s="426">
        <f>(7*2+5*2)*12/144</f>
        <v>2</v>
      </c>
      <c r="N184" s="425">
        <f t="shared" si="25"/>
        <v>0.60960000092659206</v>
      </c>
    </row>
    <row r="185" spans="6:14" x14ac:dyDescent="0.2">
      <c r="F185" s="413"/>
      <c r="G185" s="349"/>
      <c r="H185" s="413"/>
      <c r="I185" s="67"/>
      <c r="J185" s="419"/>
      <c r="K185" s="420"/>
      <c r="L185" s="420"/>
      <c r="M185" s="420"/>
      <c r="N185" s="421"/>
    </row>
    <row r="186" spans="6:14" x14ac:dyDescent="0.2">
      <c r="F186" s="413"/>
      <c r="G186" s="349"/>
      <c r="H186" s="413"/>
      <c r="I186" s="415" t="s">
        <v>1522</v>
      </c>
      <c r="J186" s="16">
        <v>0.5</v>
      </c>
      <c r="K186" s="66">
        <v>31.84</v>
      </c>
      <c r="L186" s="425">
        <f t="shared" si="24"/>
        <v>47.383143169135238</v>
      </c>
      <c r="M186" s="426">
        <f>(7*2+4*2)*12/144</f>
        <v>1.8333333333333333</v>
      </c>
      <c r="N186" s="425">
        <f t="shared" si="25"/>
        <v>0.55880000084937598</v>
      </c>
    </row>
    <row r="187" spans="6:14" x14ac:dyDescent="0.2">
      <c r="F187" s="413"/>
      <c r="G187" s="349"/>
      <c r="H187" s="413"/>
      <c r="I187" s="415" t="s">
        <v>1522</v>
      </c>
      <c r="J187" s="16">
        <v>0.375</v>
      </c>
      <c r="K187" s="66">
        <v>24.93</v>
      </c>
      <c r="L187" s="425">
        <f t="shared" si="24"/>
        <v>37.099929623321032</v>
      </c>
      <c r="M187" s="426">
        <f>(7*2+4*2)*12/144</f>
        <v>1.8333333333333333</v>
      </c>
      <c r="N187" s="425">
        <f t="shared" si="25"/>
        <v>0.55880000084937598</v>
      </c>
    </row>
    <row r="188" spans="6:14" x14ac:dyDescent="0.2">
      <c r="F188" s="413"/>
      <c r="G188" s="349"/>
      <c r="H188" s="413"/>
      <c r="I188" s="415" t="s">
        <v>1522</v>
      </c>
      <c r="J188" s="16">
        <v>0.3125</v>
      </c>
      <c r="K188" s="66">
        <v>21.21</v>
      </c>
      <c r="L188" s="425">
        <f t="shared" si="24"/>
        <v>31.56395937868588</v>
      </c>
      <c r="M188" s="426">
        <f>(7*2+4*2)*12/144</f>
        <v>1.8333333333333333</v>
      </c>
      <c r="N188" s="425">
        <f t="shared" si="25"/>
        <v>0.55880000084937598</v>
      </c>
    </row>
    <row r="189" spans="6:14" x14ac:dyDescent="0.2">
      <c r="F189" s="413"/>
      <c r="G189" s="349"/>
      <c r="H189" s="413"/>
      <c r="I189" s="415" t="s">
        <v>1522</v>
      </c>
      <c r="J189" s="16">
        <v>0.25</v>
      </c>
      <c r="K189" s="66">
        <v>17.32</v>
      </c>
      <c r="L189" s="425">
        <f t="shared" si="24"/>
        <v>25.775001246527083</v>
      </c>
      <c r="M189" s="426">
        <f>(7*2+4*2)*12/144</f>
        <v>1.8333333333333333</v>
      </c>
      <c r="N189" s="425">
        <f t="shared" si="25"/>
        <v>0.55880000084937598</v>
      </c>
    </row>
    <row r="190" spans="6:14" x14ac:dyDescent="0.2">
      <c r="F190" s="413"/>
      <c r="G190" s="349"/>
      <c r="H190" s="413"/>
      <c r="I190" s="415" t="s">
        <v>1522</v>
      </c>
      <c r="J190" s="16">
        <v>0.1875</v>
      </c>
      <c r="K190" s="66">
        <v>13.25</v>
      </c>
      <c r="L190" s="425">
        <f t="shared" si="24"/>
        <v>19.71817358640207</v>
      </c>
      <c r="M190" s="426">
        <f>(7*2+4*2)*12/144</f>
        <v>1.8333333333333333</v>
      </c>
      <c r="N190" s="425">
        <f t="shared" si="25"/>
        <v>0.55880000084937598</v>
      </c>
    </row>
    <row r="191" spans="6:14" x14ac:dyDescent="0.2">
      <c r="F191" s="413"/>
      <c r="G191" s="349"/>
      <c r="H191" s="413"/>
      <c r="I191" s="67"/>
      <c r="J191" s="419"/>
      <c r="K191" s="420"/>
      <c r="L191" s="420"/>
      <c r="M191" s="420"/>
      <c r="N191" s="421"/>
    </row>
    <row r="192" spans="6:14" x14ac:dyDescent="0.2">
      <c r="F192" s="413"/>
      <c r="G192" s="349"/>
      <c r="H192" s="413"/>
      <c r="I192" s="415" t="s">
        <v>1523</v>
      </c>
      <c r="J192" s="16">
        <v>0.5</v>
      </c>
      <c r="K192" s="66">
        <v>28.43</v>
      </c>
      <c r="L192" s="425">
        <f t="shared" si="24"/>
        <v>42.308503778219688</v>
      </c>
      <c r="M192" s="426">
        <f>(7*2+3*2)*12/144</f>
        <v>1.6666666666666667</v>
      </c>
      <c r="N192" s="425">
        <f t="shared" si="25"/>
        <v>0.50800000077216012</v>
      </c>
    </row>
    <row r="193" spans="6:14" x14ac:dyDescent="0.2">
      <c r="F193" s="413"/>
      <c r="G193" s="349"/>
      <c r="H193" s="413"/>
      <c r="I193" s="415" t="s">
        <v>1523</v>
      </c>
      <c r="J193" s="16">
        <v>0.375</v>
      </c>
      <c r="K193" s="66">
        <v>22.37</v>
      </c>
      <c r="L193" s="425">
        <f t="shared" si="24"/>
        <v>33.290229670023727</v>
      </c>
      <c r="M193" s="426">
        <f>(7*2+3*2)*12/144</f>
        <v>1.6666666666666667</v>
      </c>
      <c r="N193" s="425">
        <f t="shared" si="25"/>
        <v>0.50800000077216012</v>
      </c>
    </row>
    <row r="194" spans="6:14" x14ac:dyDescent="0.2">
      <c r="F194" s="413"/>
      <c r="G194" s="349"/>
      <c r="H194" s="413"/>
      <c r="I194" s="415" t="s">
        <v>1523</v>
      </c>
      <c r="J194" s="16">
        <v>0.3125</v>
      </c>
      <c r="K194" s="66">
        <v>19.079999999999998</v>
      </c>
      <c r="L194" s="425">
        <f t="shared" si="24"/>
        <v>28.394169964418978</v>
      </c>
      <c r="M194" s="426">
        <f>(7*2+3*2)*12/144</f>
        <v>1.6666666666666667</v>
      </c>
      <c r="N194" s="425">
        <f t="shared" si="25"/>
        <v>0.50800000077216012</v>
      </c>
    </row>
    <row r="195" spans="6:14" x14ac:dyDescent="0.2">
      <c r="F195" s="413"/>
      <c r="G195" s="349"/>
      <c r="H195" s="413"/>
      <c r="I195" s="415" t="s">
        <v>1523</v>
      </c>
      <c r="J195" s="16">
        <v>0.25</v>
      </c>
      <c r="K195" s="66">
        <v>15.62</v>
      </c>
      <c r="L195" s="425">
        <f t="shared" si="24"/>
        <v>23.245122371290591</v>
      </c>
      <c r="M195" s="426">
        <f>(7*2+3*2)*12/144</f>
        <v>1.6666666666666667</v>
      </c>
      <c r="N195" s="425">
        <f t="shared" si="25"/>
        <v>0.50800000077216012</v>
      </c>
    </row>
    <row r="196" spans="6:14" x14ac:dyDescent="0.2">
      <c r="F196" s="413"/>
      <c r="G196" s="349"/>
      <c r="H196" s="413"/>
      <c r="I196" s="415" t="s">
        <v>1523</v>
      </c>
      <c r="J196" s="16">
        <v>0.1875</v>
      </c>
      <c r="K196" s="66">
        <v>11.97</v>
      </c>
      <c r="L196" s="425">
        <f t="shared" si="24"/>
        <v>17.813323609753418</v>
      </c>
      <c r="M196" s="426">
        <f>(7*2+3*2)*12/144</f>
        <v>1.6666666666666667</v>
      </c>
      <c r="N196" s="425">
        <f t="shared" si="25"/>
        <v>0.50800000077216012</v>
      </c>
    </row>
    <row r="197" spans="6:14" x14ac:dyDescent="0.2">
      <c r="F197" s="413"/>
      <c r="G197" s="349"/>
      <c r="H197" s="413"/>
      <c r="I197" s="67"/>
      <c r="J197" s="419"/>
      <c r="K197" s="420"/>
      <c r="L197" s="420"/>
      <c r="M197" s="420"/>
      <c r="N197" s="421"/>
    </row>
    <row r="198" spans="6:14" x14ac:dyDescent="0.2">
      <c r="F198" s="413"/>
      <c r="G198" s="349"/>
      <c r="H198" s="413"/>
      <c r="I198" s="415" t="s">
        <v>1694</v>
      </c>
      <c r="J198" s="16">
        <v>0.25</v>
      </c>
      <c r="K198" s="66">
        <v>13.91</v>
      </c>
      <c r="L198" s="425">
        <f t="shared" si="24"/>
        <v>20.700361855611533</v>
      </c>
      <c r="M198" s="426">
        <f>(7*2+2*2)*12/144</f>
        <v>1.5</v>
      </c>
      <c r="N198" s="425">
        <f t="shared" si="25"/>
        <v>0.45720000069494404</v>
      </c>
    </row>
    <row r="199" spans="6:14" x14ac:dyDescent="0.2">
      <c r="F199" s="413"/>
      <c r="G199" s="349"/>
      <c r="H199" s="413"/>
      <c r="I199" s="415" t="s">
        <v>1694</v>
      </c>
      <c r="J199" s="16">
        <v>0.1875</v>
      </c>
      <c r="K199" s="66">
        <v>10.7</v>
      </c>
      <c r="L199" s="425">
        <f t="shared" si="24"/>
        <v>15.923355273547333</v>
      </c>
      <c r="M199" s="426">
        <f>(7*2+2*2)*12/144</f>
        <v>1.5</v>
      </c>
      <c r="N199" s="425">
        <f t="shared" si="25"/>
        <v>0.45720000069494404</v>
      </c>
    </row>
    <row r="200" spans="6:14" x14ac:dyDescent="0.2">
      <c r="F200" s="413"/>
      <c r="G200" s="349"/>
      <c r="H200" s="413"/>
      <c r="I200" s="67"/>
      <c r="J200" s="419"/>
      <c r="K200" s="420"/>
      <c r="L200" s="420"/>
      <c r="M200" s="420"/>
      <c r="N200" s="421"/>
    </row>
    <row r="201" spans="6:14" x14ac:dyDescent="0.2">
      <c r="F201" s="413"/>
      <c r="G201" s="349"/>
      <c r="H201" s="413"/>
      <c r="I201" s="415" t="s">
        <v>1695</v>
      </c>
      <c r="J201" s="16">
        <v>0.5</v>
      </c>
      <c r="K201" s="66">
        <v>31.84</v>
      </c>
      <c r="L201" s="425">
        <f t="shared" si="24"/>
        <v>47.383143169135238</v>
      </c>
      <c r="M201" s="426">
        <f>(6*2+5*2)*12/144</f>
        <v>1.8333333333333333</v>
      </c>
      <c r="N201" s="425">
        <f t="shared" si="25"/>
        <v>0.55880000084937598</v>
      </c>
    </row>
    <row r="202" spans="6:14" x14ac:dyDescent="0.2">
      <c r="F202" s="413"/>
      <c r="G202" s="349"/>
      <c r="H202" s="413"/>
      <c r="I202" s="415" t="s">
        <v>1695</v>
      </c>
      <c r="J202" s="16">
        <v>0.375</v>
      </c>
      <c r="K202" s="66">
        <v>24.93</v>
      </c>
      <c r="L202" s="425">
        <f t="shared" si="24"/>
        <v>37.099929623321032</v>
      </c>
      <c r="M202" s="426">
        <f>(6*2+5*2)*12/144</f>
        <v>1.8333333333333333</v>
      </c>
      <c r="N202" s="425">
        <f t="shared" si="25"/>
        <v>0.55880000084937598</v>
      </c>
    </row>
    <row r="203" spans="6:14" x14ac:dyDescent="0.2">
      <c r="F203" s="413"/>
      <c r="G203" s="349"/>
      <c r="H203" s="413"/>
      <c r="I203" s="415" t="s">
        <v>1695</v>
      </c>
      <c r="J203" s="16">
        <v>0.3125</v>
      </c>
      <c r="K203" s="66">
        <v>21.21</v>
      </c>
      <c r="L203" s="425">
        <f t="shared" si="24"/>
        <v>31.56395937868588</v>
      </c>
      <c r="M203" s="426">
        <f>(6*2+5*2)*12/144</f>
        <v>1.8333333333333333</v>
      </c>
      <c r="N203" s="425">
        <f t="shared" si="25"/>
        <v>0.55880000084937598</v>
      </c>
    </row>
    <row r="204" spans="6:14" x14ac:dyDescent="0.2">
      <c r="F204" s="413"/>
      <c r="G204" s="349"/>
      <c r="H204" s="413"/>
      <c r="I204" s="415" t="s">
        <v>1695</v>
      </c>
      <c r="J204" s="16">
        <v>0.25</v>
      </c>
      <c r="K204" s="66">
        <v>17.32</v>
      </c>
      <c r="L204" s="425">
        <f t="shared" si="24"/>
        <v>25.775001246527083</v>
      </c>
      <c r="M204" s="426">
        <f>(6*2+5*2)*12/144</f>
        <v>1.8333333333333333</v>
      </c>
      <c r="N204" s="425">
        <f t="shared" si="25"/>
        <v>0.55880000084937598</v>
      </c>
    </row>
    <row r="205" spans="6:14" x14ac:dyDescent="0.2">
      <c r="F205" s="413"/>
      <c r="G205" s="349"/>
      <c r="H205" s="413"/>
      <c r="I205" s="415" t="s">
        <v>1695</v>
      </c>
      <c r="J205" s="16">
        <v>0.1875</v>
      </c>
      <c r="K205" s="66">
        <v>13.25</v>
      </c>
      <c r="L205" s="425">
        <f t="shared" si="24"/>
        <v>19.71817358640207</v>
      </c>
      <c r="M205" s="426">
        <f>(6*2+5*2)*12/144</f>
        <v>1.8333333333333333</v>
      </c>
      <c r="N205" s="425">
        <f t="shared" si="25"/>
        <v>0.55880000084937598</v>
      </c>
    </row>
    <row r="206" spans="6:14" x14ac:dyDescent="0.2">
      <c r="F206" s="413"/>
      <c r="G206" s="349"/>
      <c r="H206" s="413"/>
      <c r="I206" s="67"/>
      <c r="J206" s="419"/>
      <c r="K206" s="420"/>
      <c r="L206" s="420"/>
      <c r="M206" s="420"/>
      <c r="N206" s="421"/>
    </row>
    <row r="207" spans="6:14" x14ac:dyDescent="0.2">
      <c r="F207" s="413"/>
      <c r="G207" s="349"/>
      <c r="H207" s="413"/>
      <c r="I207" s="415" t="s">
        <v>1524</v>
      </c>
      <c r="J207" s="16">
        <v>0.5</v>
      </c>
      <c r="K207" s="66">
        <v>28.43</v>
      </c>
      <c r="L207" s="425">
        <f t="shared" si="24"/>
        <v>42.308503778219688</v>
      </c>
      <c r="M207" s="426">
        <f>(6*2+4*2)*12/144</f>
        <v>1.6666666666666667</v>
      </c>
      <c r="N207" s="425">
        <f t="shared" si="25"/>
        <v>0.50800000077216012</v>
      </c>
    </row>
    <row r="208" spans="6:14" x14ac:dyDescent="0.2">
      <c r="F208" s="413"/>
      <c r="G208" s="349"/>
      <c r="H208" s="413"/>
      <c r="I208" s="415" t="s">
        <v>1524</v>
      </c>
      <c r="J208" s="16">
        <v>0.375</v>
      </c>
      <c r="K208" s="66">
        <v>22.37</v>
      </c>
      <c r="L208" s="425">
        <f t="shared" si="24"/>
        <v>33.290229670023727</v>
      </c>
      <c r="M208" s="426">
        <f>(6*2+4*2)*12/144</f>
        <v>1.6666666666666667</v>
      </c>
      <c r="N208" s="425">
        <f t="shared" si="25"/>
        <v>0.50800000077216012</v>
      </c>
    </row>
    <row r="209" spans="6:14" x14ac:dyDescent="0.2">
      <c r="F209" s="413"/>
      <c r="G209" s="349"/>
      <c r="H209" s="413"/>
      <c r="I209" s="415" t="s">
        <v>1524</v>
      </c>
      <c r="J209" s="16">
        <v>0.3125</v>
      </c>
      <c r="K209" s="66">
        <v>19.079999999999998</v>
      </c>
      <c r="L209" s="425">
        <f t="shared" si="24"/>
        <v>28.394169964418978</v>
      </c>
      <c r="M209" s="426">
        <f>(6*2+4*2)*12/144</f>
        <v>1.6666666666666667</v>
      </c>
      <c r="N209" s="425">
        <f t="shared" si="25"/>
        <v>0.50800000077216012</v>
      </c>
    </row>
    <row r="210" spans="6:14" x14ac:dyDescent="0.2">
      <c r="F210" s="413"/>
      <c r="G210" s="349"/>
      <c r="H210" s="413"/>
      <c r="I210" s="415" t="s">
        <v>1524</v>
      </c>
      <c r="J210" s="16">
        <v>0.25</v>
      </c>
      <c r="K210" s="66">
        <v>15.62</v>
      </c>
      <c r="L210" s="425">
        <f t="shared" si="24"/>
        <v>23.245122371290591</v>
      </c>
      <c r="M210" s="426">
        <f>(6*2+4*2)*12/144</f>
        <v>1.6666666666666667</v>
      </c>
      <c r="N210" s="425">
        <f t="shared" si="25"/>
        <v>0.50800000077216012</v>
      </c>
    </row>
    <row r="211" spans="6:14" x14ac:dyDescent="0.2">
      <c r="F211" s="413"/>
      <c r="G211" s="349"/>
      <c r="H211" s="413"/>
      <c r="I211" s="415" t="s">
        <v>1524</v>
      </c>
      <c r="J211" s="16">
        <v>0.1875</v>
      </c>
      <c r="K211" s="66">
        <v>11.97</v>
      </c>
      <c r="L211" s="425">
        <f t="shared" si="24"/>
        <v>17.813323609753418</v>
      </c>
      <c r="M211" s="426">
        <f>(6*2+4*2)*12/144</f>
        <v>1.6666666666666667</v>
      </c>
      <c r="N211" s="425">
        <f t="shared" si="25"/>
        <v>0.50800000077216012</v>
      </c>
    </row>
    <row r="212" spans="6:14" x14ac:dyDescent="0.2">
      <c r="F212" s="413"/>
      <c r="G212" s="349"/>
      <c r="H212" s="413"/>
      <c r="I212" s="67"/>
      <c r="J212" s="419"/>
      <c r="K212" s="420"/>
      <c r="L212" s="420"/>
      <c r="M212" s="420"/>
      <c r="N212" s="421"/>
    </row>
    <row r="213" spans="6:14" x14ac:dyDescent="0.2">
      <c r="F213" s="413"/>
      <c r="G213" s="349"/>
      <c r="H213" s="413"/>
      <c r="I213" s="415" t="s">
        <v>1525</v>
      </c>
      <c r="J213" s="16">
        <v>0.375</v>
      </c>
      <c r="K213" s="66">
        <v>19.82</v>
      </c>
      <c r="L213" s="425">
        <f t="shared" si="24"/>
        <v>29.495411357168987</v>
      </c>
      <c r="M213" s="426">
        <f>(6*2+3*2)*12/144</f>
        <v>1.5</v>
      </c>
      <c r="N213" s="425">
        <f t="shared" si="25"/>
        <v>0.45720000069494404</v>
      </c>
    </row>
    <row r="214" spans="6:14" x14ac:dyDescent="0.2">
      <c r="F214" s="413"/>
      <c r="G214" s="349"/>
      <c r="H214" s="413"/>
      <c r="I214" s="415" t="s">
        <v>1525</v>
      </c>
      <c r="J214" s="16">
        <v>0.3125</v>
      </c>
      <c r="K214" s="66">
        <v>16.96</v>
      </c>
      <c r="L214" s="425">
        <f t="shared" si="24"/>
        <v>25.239262190594651</v>
      </c>
      <c r="M214" s="426">
        <f>(6*2+3*2)*12/144</f>
        <v>1.5</v>
      </c>
      <c r="N214" s="425">
        <f t="shared" si="25"/>
        <v>0.45720000069494404</v>
      </c>
    </row>
    <row r="215" spans="6:14" x14ac:dyDescent="0.2">
      <c r="F215" s="413"/>
      <c r="G215" s="349"/>
      <c r="H215" s="413"/>
      <c r="I215" s="415" t="s">
        <v>1525</v>
      </c>
      <c r="J215" s="16">
        <v>0.25</v>
      </c>
      <c r="K215" s="66">
        <v>13.91</v>
      </c>
      <c r="L215" s="425">
        <f>K215*3.2808399*0.4535924</f>
        <v>20.700361855611533</v>
      </c>
      <c r="M215" s="426">
        <f>(6*2+3*2)*12/144</f>
        <v>1.5</v>
      </c>
      <c r="N215" s="425">
        <f>(M215*3.2808399)*0.09290304</f>
        <v>0.45720000069494404</v>
      </c>
    </row>
    <row r="216" spans="6:14" x14ac:dyDescent="0.2">
      <c r="F216" s="413"/>
      <c r="G216" s="349"/>
      <c r="H216" s="413"/>
      <c r="I216" s="415" t="s">
        <v>1525</v>
      </c>
      <c r="J216" s="16">
        <v>0.1875</v>
      </c>
      <c r="K216" s="66">
        <v>10.7</v>
      </c>
      <c r="L216" s="425">
        <f>K216*3.2808399*0.4535924</f>
        <v>15.923355273547333</v>
      </c>
      <c r="M216" s="426">
        <f>(6*2+3*2)*12/144</f>
        <v>1.5</v>
      </c>
      <c r="N216" s="425">
        <f>(M216*3.2808399)*0.09290304</f>
        <v>0.45720000069494404</v>
      </c>
    </row>
    <row r="217" spans="6:14" x14ac:dyDescent="0.2">
      <c r="F217" s="413"/>
      <c r="G217" s="349"/>
      <c r="H217" s="413"/>
      <c r="I217" s="67"/>
      <c r="J217" s="419"/>
      <c r="K217" s="420"/>
      <c r="L217" s="420"/>
      <c r="M217" s="420"/>
      <c r="N217" s="421"/>
    </row>
    <row r="218" spans="6:14" x14ac:dyDescent="0.2">
      <c r="F218" s="413"/>
      <c r="G218" s="349"/>
      <c r="H218" s="413"/>
      <c r="I218" s="415" t="s">
        <v>1526</v>
      </c>
      <c r="J218" s="16">
        <v>0.375</v>
      </c>
      <c r="K218" s="66">
        <v>17.27</v>
      </c>
      <c r="L218" s="425">
        <f t="shared" ref="L218:L226" si="28">K218*3.2808399*0.4535924</f>
        <v>25.700593044314246</v>
      </c>
      <c r="M218" s="426">
        <f>(6*2+2*2)*12/144</f>
        <v>1.3333333333333333</v>
      </c>
      <c r="N218" s="425">
        <f t="shared" ref="N218:N226" si="29">(M218*3.2808399)*0.09290304</f>
        <v>0.40640000061772796</v>
      </c>
    </row>
    <row r="219" spans="6:14" x14ac:dyDescent="0.2">
      <c r="F219" s="413"/>
      <c r="G219" s="349"/>
      <c r="H219" s="413"/>
      <c r="I219" s="415" t="s">
        <v>1526</v>
      </c>
      <c r="J219" s="16">
        <v>0.3125</v>
      </c>
      <c r="K219" s="66">
        <v>14.83</v>
      </c>
      <c r="L219" s="425">
        <f t="shared" si="28"/>
        <v>22.069472776327753</v>
      </c>
      <c r="M219" s="426">
        <f>(6*2+2*2)*12/144</f>
        <v>1.3333333333333333</v>
      </c>
      <c r="N219" s="425">
        <f t="shared" si="29"/>
        <v>0.40640000061772796</v>
      </c>
    </row>
    <row r="220" spans="6:14" x14ac:dyDescent="0.2">
      <c r="F220" s="413"/>
      <c r="G220" s="349"/>
      <c r="H220" s="413"/>
      <c r="I220" s="415" t="s">
        <v>1526</v>
      </c>
      <c r="J220" s="16">
        <v>0.25</v>
      </c>
      <c r="K220" s="66">
        <v>12.21</v>
      </c>
      <c r="L220" s="425">
        <f t="shared" si="28"/>
        <v>18.170482980375041</v>
      </c>
      <c r="M220" s="426">
        <f>(6*2+2*2)*12/144</f>
        <v>1.3333333333333333</v>
      </c>
      <c r="N220" s="425">
        <f t="shared" si="29"/>
        <v>0.40640000061772796</v>
      </c>
    </row>
    <row r="221" spans="6:14" x14ac:dyDescent="0.2">
      <c r="F221" s="413"/>
      <c r="G221" s="349"/>
      <c r="H221" s="413"/>
      <c r="I221" s="415" t="s">
        <v>1526</v>
      </c>
      <c r="J221" s="16">
        <v>0.1875</v>
      </c>
      <c r="K221" s="66">
        <v>9.42</v>
      </c>
      <c r="L221" s="425">
        <f t="shared" si="28"/>
        <v>14.018505296898679</v>
      </c>
      <c r="M221" s="426">
        <f>(6*2+2*2)*12/144</f>
        <v>1.3333333333333333</v>
      </c>
      <c r="N221" s="425">
        <f t="shared" si="29"/>
        <v>0.40640000061772796</v>
      </c>
    </row>
    <row r="222" spans="6:14" x14ac:dyDescent="0.2">
      <c r="F222" s="413"/>
      <c r="G222" s="349"/>
      <c r="H222" s="413"/>
      <c r="I222" s="67"/>
      <c r="J222" s="419"/>
      <c r="K222" s="420"/>
      <c r="L222" s="420"/>
      <c r="M222" s="420"/>
      <c r="N222" s="421"/>
    </row>
    <row r="223" spans="6:14" x14ac:dyDescent="0.2">
      <c r="F223" s="413"/>
      <c r="G223" s="349"/>
      <c r="H223" s="413"/>
      <c r="I223" s="415" t="s">
        <v>1527</v>
      </c>
      <c r="J223" s="16">
        <v>0.375</v>
      </c>
      <c r="K223" s="66">
        <v>19.82</v>
      </c>
      <c r="L223" s="425">
        <f t="shared" si="28"/>
        <v>29.495411357168987</v>
      </c>
      <c r="M223" s="426">
        <f>(5*2+4*2)*12/144</f>
        <v>1.5</v>
      </c>
      <c r="N223" s="425">
        <f t="shared" si="29"/>
        <v>0.45720000069494404</v>
      </c>
    </row>
    <row r="224" spans="6:14" x14ac:dyDescent="0.2">
      <c r="F224" s="413"/>
      <c r="G224" s="349"/>
      <c r="H224" s="413"/>
      <c r="I224" s="415" t="s">
        <v>1527</v>
      </c>
      <c r="J224" s="16">
        <v>0.3125</v>
      </c>
      <c r="K224" s="66">
        <v>16.96</v>
      </c>
      <c r="L224" s="425">
        <f t="shared" si="28"/>
        <v>25.239262190594651</v>
      </c>
      <c r="M224" s="426">
        <f>(5*2+4*2)*12/144</f>
        <v>1.5</v>
      </c>
      <c r="N224" s="425">
        <f t="shared" si="29"/>
        <v>0.45720000069494404</v>
      </c>
    </row>
    <row r="225" spans="6:14" x14ac:dyDescent="0.2">
      <c r="F225" s="413"/>
      <c r="G225" s="349"/>
      <c r="H225" s="413"/>
      <c r="I225" s="415" t="s">
        <v>1527</v>
      </c>
      <c r="J225" s="16">
        <v>0.25</v>
      </c>
      <c r="K225" s="66">
        <v>13.91</v>
      </c>
      <c r="L225" s="425">
        <f t="shared" si="28"/>
        <v>20.700361855611533</v>
      </c>
      <c r="M225" s="426">
        <f>(5*2+4*2)*12/144</f>
        <v>1.5</v>
      </c>
      <c r="N225" s="425">
        <f t="shared" si="29"/>
        <v>0.45720000069494404</v>
      </c>
    </row>
    <row r="226" spans="6:14" x14ac:dyDescent="0.2">
      <c r="F226" s="413"/>
      <c r="G226" s="349"/>
      <c r="H226" s="413"/>
      <c r="I226" s="415" t="s">
        <v>1527</v>
      </c>
      <c r="J226" s="16">
        <v>0.1875</v>
      </c>
      <c r="K226" s="66">
        <v>10.7</v>
      </c>
      <c r="L226" s="425">
        <f t="shared" si="28"/>
        <v>15.923355273547333</v>
      </c>
      <c r="M226" s="426">
        <f>(5*2+4*2)*12/144</f>
        <v>1.5</v>
      </c>
      <c r="N226" s="425">
        <f t="shared" si="29"/>
        <v>0.45720000069494404</v>
      </c>
    </row>
    <row r="227" spans="6:14" x14ac:dyDescent="0.2">
      <c r="F227" s="413"/>
      <c r="G227" s="349"/>
      <c r="H227" s="413"/>
      <c r="I227" s="67"/>
      <c r="J227" s="419"/>
      <c r="K227" s="420"/>
      <c r="L227" s="420"/>
      <c r="M227" s="420"/>
      <c r="N227" s="421"/>
    </row>
    <row r="228" spans="6:14" x14ac:dyDescent="0.2">
      <c r="F228" s="413"/>
      <c r="G228" s="349"/>
      <c r="H228" s="413"/>
      <c r="I228" s="415" t="s">
        <v>1528</v>
      </c>
      <c r="J228" s="16">
        <v>0.5</v>
      </c>
      <c r="K228" s="66">
        <v>21.63</v>
      </c>
      <c r="L228" s="425">
        <f>K228*3.2808399*0.4535924</f>
        <v>32.188988277273715</v>
      </c>
      <c r="M228" s="426">
        <f>(5*2+3*2)*12/144</f>
        <v>1.3333333333333333</v>
      </c>
      <c r="N228" s="425">
        <f>(M228*3.2808399)*0.09290304</f>
        <v>0.40640000061772796</v>
      </c>
    </row>
    <row r="229" spans="6:14" x14ac:dyDescent="0.2">
      <c r="F229" s="413"/>
      <c r="G229" s="349"/>
      <c r="H229" s="413"/>
      <c r="I229" s="415" t="s">
        <v>1528</v>
      </c>
      <c r="J229" s="16">
        <v>0.375</v>
      </c>
      <c r="K229" s="66">
        <v>17.27</v>
      </c>
      <c r="L229" s="425">
        <f>K229*3.2808399*0.4535924</f>
        <v>25.700593044314246</v>
      </c>
      <c r="M229" s="426">
        <f>(5*2+3*2)*12/144</f>
        <v>1.3333333333333333</v>
      </c>
      <c r="N229" s="425">
        <f>(M229*3.2808399)*0.09290304</f>
        <v>0.40640000061772796</v>
      </c>
    </row>
    <row r="230" spans="6:14" x14ac:dyDescent="0.2">
      <c r="F230" s="413"/>
      <c r="G230" s="349"/>
      <c r="H230" s="413"/>
      <c r="I230" s="415" t="s">
        <v>1528</v>
      </c>
      <c r="J230" s="16">
        <v>0.3125</v>
      </c>
      <c r="K230" s="66">
        <v>14.83</v>
      </c>
      <c r="L230" s="425">
        <f>K230*3.2808399*0.4535924</f>
        <v>22.069472776327753</v>
      </c>
      <c r="M230" s="426">
        <f>(5*2+3*2)*12/144</f>
        <v>1.3333333333333333</v>
      </c>
      <c r="N230" s="425">
        <f>(M230*3.2808399)*0.09290304</f>
        <v>0.40640000061772796</v>
      </c>
    </row>
    <row r="231" spans="6:14" x14ac:dyDescent="0.2">
      <c r="F231" s="413"/>
      <c r="G231" s="349"/>
      <c r="H231" s="413"/>
      <c r="I231" s="415" t="s">
        <v>1528</v>
      </c>
      <c r="J231" s="16">
        <v>0.25</v>
      </c>
      <c r="K231" s="66">
        <v>12.21</v>
      </c>
      <c r="L231" s="425">
        <f>K231*3.2808399*0.4535924</f>
        <v>18.170482980375041</v>
      </c>
      <c r="M231" s="426">
        <f>(5*2+3*2)*12/144</f>
        <v>1.3333333333333333</v>
      </c>
      <c r="N231" s="425">
        <f>(M231*3.2808399)*0.09290304</f>
        <v>0.40640000061772796</v>
      </c>
    </row>
    <row r="232" spans="6:14" x14ac:dyDescent="0.2">
      <c r="F232" s="413"/>
      <c r="G232" s="349"/>
      <c r="H232" s="413"/>
      <c r="I232" s="415" t="s">
        <v>1528</v>
      </c>
      <c r="J232" s="16">
        <v>0.1875</v>
      </c>
      <c r="K232" s="66">
        <v>9.42</v>
      </c>
      <c r="L232" s="425">
        <f>K232*3.2808399*0.4535924</f>
        <v>14.018505296898679</v>
      </c>
      <c r="M232" s="426">
        <f>(5*2+3*2)*12/144</f>
        <v>1.3333333333333333</v>
      </c>
      <c r="N232" s="425">
        <f>(M232*3.2808399)*0.09290304</f>
        <v>0.40640000061772796</v>
      </c>
    </row>
    <row r="233" spans="6:14" x14ac:dyDescent="0.2">
      <c r="F233" s="413"/>
      <c r="G233" s="349"/>
      <c r="H233" s="413"/>
      <c r="I233" s="67"/>
      <c r="J233" s="419"/>
      <c r="K233" s="420"/>
      <c r="L233" s="420"/>
      <c r="M233" s="420"/>
      <c r="N233" s="421"/>
    </row>
    <row r="234" spans="6:14" x14ac:dyDescent="0.2">
      <c r="F234" s="413"/>
      <c r="G234" s="349"/>
      <c r="H234" s="413"/>
      <c r="I234" s="415" t="s">
        <v>1529</v>
      </c>
      <c r="J234" s="16">
        <v>0.3125</v>
      </c>
      <c r="K234" s="66">
        <v>12.7</v>
      </c>
      <c r="L234" s="425">
        <f>K234*3.2808399*0.4535924</f>
        <v>18.899683362060852</v>
      </c>
      <c r="M234" s="426">
        <f>(5*2+2*2)*12/144</f>
        <v>1.1666666666666667</v>
      </c>
      <c r="N234" s="425">
        <f>(M234*3.2808399)*0.09290304</f>
        <v>0.35560000054051205</v>
      </c>
    </row>
    <row r="235" spans="6:14" x14ac:dyDescent="0.2">
      <c r="F235" s="413"/>
      <c r="G235" s="349"/>
      <c r="H235" s="413"/>
      <c r="I235" s="415" t="s">
        <v>1529</v>
      </c>
      <c r="J235" s="16">
        <v>0.25</v>
      </c>
      <c r="K235" s="66">
        <v>10.51</v>
      </c>
      <c r="L235" s="425">
        <f>K235*3.2808399*0.4535924</f>
        <v>15.640604105138548</v>
      </c>
      <c r="M235" s="426">
        <f>(5*2+2*2)*12/144</f>
        <v>1.1666666666666667</v>
      </c>
      <c r="N235" s="425">
        <f>(M235*3.2808399)*0.09290304</f>
        <v>0.35560000054051205</v>
      </c>
    </row>
    <row r="236" spans="6:14" x14ac:dyDescent="0.2">
      <c r="F236" s="413"/>
      <c r="G236" s="349"/>
      <c r="H236" s="413"/>
      <c r="I236" s="415" t="s">
        <v>1529</v>
      </c>
      <c r="J236" s="16">
        <v>0.1875</v>
      </c>
      <c r="K236" s="66">
        <v>8.15</v>
      </c>
      <c r="L236" s="425">
        <f>K236*3.2808399*0.4535924</f>
        <v>12.128536960692596</v>
      </c>
      <c r="M236" s="426">
        <f>(5*2+2*2)*12/144</f>
        <v>1.1666666666666667</v>
      </c>
      <c r="N236" s="425">
        <f>(M236*3.2808399)*0.09290304</f>
        <v>0.35560000054051205</v>
      </c>
    </row>
    <row r="237" spans="6:14" x14ac:dyDescent="0.2">
      <c r="F237" s="413"/>
      <c r="G237" s="349"/>
      <c r="H237" s="413"/>
      <c r="I237" s="67"/>
      <c r="J237" s="419"/>
      <c r="K237" s="420"/>
      <c r="L237" s="420"/>
      <c r="M237" s="420"/>
      <c r="N237" s="421"/>
    </row>
    <row r="238" spans="6:14" x14ac:dyDescent="0.2">
      <c r="F238" s="413"/>
      <c r="G238" s="349"/>
      <c r="H238" s="413"/>
      <c r="I238" s="415" t="s">
        <v>1530</v>
      </c>
      <c r="J238" s="16">
        <v>0.3125</v>
      </c>
      <c r="K238" s="66">
        <v>12.7</v>
      </c>
      <c r="L238" s="425">
        <f t="shared" ref="L238:L247" si="30">K238*3.2808399*0.4535924</f>
        <v>18.899683362060852</v>
      </c>
      <c r="M238" s="426">
        <f>(4*2+3*2)*12/144</f>
        <v>1.1666666666666667</v>
      </c>
      <c r="N238" s="425">
        <f t="shared" ref="N238:N247" si="31">(M238*3.2808399)*0.09290304</f>
        <v>0.35560000054051205</v>
      </c>
    </row>
    <row r="239" spans="6:14" x14ac:dyDescent="0.2">
      <c r="F239" s="413"/>
      <c r="G239" s="349"/>
      <c r="H239" s="413"/>
      <c r="I239" s="415" t="s">
        <v>1530</v>
      </c>
      <c r="J239" s="16">
        <v>0.25</v>
      </c>
      <c r="K239" s="66">
        <v>10.51</v>
      </c>
      <c r="L239" s="425">
        <f t="shared" si="30"/>
        <v>15.640604105138548</v>
      </c>
      <c r="M239" s="426">
        <f>(4*2+3*2)*12/144</f>
        <v>1.1666666666666667</v>
      </c>
      <c r="N239" s="425">
        <f t="shared" si="31"/>
        <v>0.35560000054051205</v>
      </c>
    </row>
    <row r="240" spans="6:14" x14ac:dyDescent="0.2">
      <c r="F240" s="413"/>
      <c r="G240" s="349"/>
      <c r="H240" s="413"/>
      <c r="I240" s="415" t="s">
        <v>1530</v>
      </c>
      <c r="J240" s="16">
        <v>0.1875</v>
      </c>
      <c r="K240" s="66">
        <v>8.15</v>
      </c>
      <c r="L240" s="425">
        <f t="shared" si="30"/>
        <v>12.128536960692596</v>
      </c>
      <c r="M240" s="426">
        <f>(4*2+3*2)*12/144</f>
        <v>1.1666666666666667</v>
      </c>
      <c r="N240" s="425">
        <f t="shared" si="31"/>
        <v>0.35560000054051205</v>
      </c>
    </row>
    <row r="241" spans="6:14" x14ac:dyDescent="0.2">
      <c r="F241" s="413"/>
      <c r="G241" s="349"/>
      <c r="H241" s="413"/>
      <c r="I241" s="67"/>
      <c r="J241" s="419"/>
      <c r="K241" s="420"/>
      <c r="L241" s="420"/>
      <c r="M241" s="420"/>
      <c r="N241" s="421"/>
    </row>
    <row r="242" spans="6:14" x14ac:dyDescent="0.2">
      <c r="F242" s="413"/>
      <c r="G242" s="349"/>
      <c r="H242" s="413"/>
      <c r="I242" s="415" t="s">
        <v>1531</v>
      </c>
      <c r="J242" s="16">
        <v>0.3125</v>
      </c>
      <c r="K242" s="66">
        <v>10.58</v>
      </c>
      <c r="L242" s="425">
        <f t="shared" si="30"/>
        <v>15.74477558823652</v>
      </c>
      <c r="M242" s="426">
        <f>(4*2+2*2)*12/144</f>
        <v>1</v>
      </c>
      <c r="N242" s="425">
        <f t="shared" si="31"/>
        <v>0.30480000046329603</v>
      </c>
    </row>
    <row r="243" spans="6:14" x14ac:dyDescent="0.2">
      <c r="F243" s="413"/>
      <c r="G243" s="349"/>
      <c r="H243" s="413"/>
      <c r="I243" s="415" t="s">
        <v>1531</v>
      </c>
      <c r="J243" s="16">
        <v>0.25</v>
      </c>
      <c r="K243" s="66">
        <v>8.81</v>
      </c>
      <c r="L243" s="425">
        <f t="shared" si="30"/>
        <v>13.110725229902057</v>
      </c>
      <c r="M243" s="426">
        <f>(4*2+2*2)*12/144</f>
        <v>1</v>
      </c>
      <c r="N243" s="425">
        <f t="shared" si="31"/>
        <v>0.30480000046329603</v>
      </c>
    </row>
    <row r="244" spans="6:14" x14ac:dyDescent="0.2">
      <c r="F244" s="413"/>
      <c r="G244" s="349"/>
      <c r="H244" s="413"/>
      <c r="I244" s="415" t="s">
        <v>1531</v>
      </c>
      <c r="J244" s="16">
        <v>0.1875</v>
      </c>
      <c r="K244" s="66">
        <v>6.87</v>
      </c>
      <c r="L244" s="425">
        <f t="shared" si="30"/>
        <v>10.223686984043942</v>
      </c>
      <c r="M244" s="426">
        <f>(4*2+2*2)*12/144</f>
        <v>1</v>
      </c>
      <c r="N244" s="425">
        <f t="shared" si="31"/>
        <v>0.30480000046329603</v>
      </c>
    </row>
    <row r="245" spans="6:14" x14ac:dyDescent="0.2">
      <c r="F245" s="413"/>
      <c r="G245" s="349"/>
      <c r="H245" s="413"/>
      <c r="I245" s="67"/>
      <c r="J245" s="419"/>
      <c r="K245" s="420"/>
      <c r="L245" s="420"/>
      <c r="M245" s="420"/>
      <c r="N245" s="421"/>
    </row>
    <row r="246" spans="6:14" x14ac:dyDescent="0.2">
      <c r="F246" s="413"/>
      <c r="G246" s="349"/>
      <c r="H246" s="413"/>
      <c r="I246" s="415" t="s">
        <v>1696</v>
      </c>
      <c r="J246" s="16">
        <v>0.25</v>
      </c>
      <c r="K246" s="66">
        <v>8.81</v>
      </c>
      <c r="L246" s="425">
        <f t="shared" si="30"/>
        <v>13.110725229902057</v>
      </c>
      <c r="M246" s="426">
        <f>(3.5*2+2.5*2)*12/144</f>
        <v>1</v>
      </c>
      <c r="N246" s="425">
        <f t="shared" si="31"/>
        <v>0.30480000046329603</v>
      </c>
    </row>
    <row r="247" spans="6:14" x14ac:dyDescent="0.2">
      <c r="F247" s="413"/>
      <c r="G247" s="349"/>
      <c r="H247" s="413"/>
      <c r="I247" s="415" t="s">
        <v>1696</v>
      </c>
      <c r="J247" s="16">
        <v>0.1875</v>
      </c>
      <c r="K247" s="66">
        <v>6.87</v>
      </c>
      <c r="L247" s="425">
        <f t="shared" si="30"/>
        <v>10.223686984043942</v>
      </c>
      <c r="M247" s="426">
        <f>(3.5*2+2.5*2)*12/144</f>
        <v>1</v>
      </c>
      <c r="N247" s="425">
        <f t="shared" si="31"/>
        <v>0.30480000046329603</v>
      </c>
    </row>
    <row r="248" spans="6:14" x14ac:dyDescent="0.2">
      <c r="F248" s="413"/>
      <c r="G248" s="349"/>
      <c r="H248" s="413"/>
      <c r="I248" s="67"/>
      <c r="J248" s="419"/>
      <c r="K248" s="420"/>
      <c r="L248" s="420"/>
      <c r="M248" s="420"/>
      <c r="N248" s="421"/>
    </row>
    <row r="249" spans="6:14" x14ac:dyDescent="0.2">
      <c r="F249" s="413"/>
      <c r="G249" s="349"/>
      <c r="H249" s="413"/>
      <c r="I249" s="415" t="s">
        <v>1532</v>
      </c>
      <c r="J249" s="16">
        <v>0.25</v>
      </c>
      <c r="K249" s="66">
        <v>7.11</v>
      </c>
      <c r="L249" s="425">
        <f>K249*3.2808399*0.4535924</f>
        <v>10.580846354665564</v>
      </c>
      <c r="M249" s="426">
        <f>(3*2+2*2)*12/144</f>
        <v>0.83333333333333337</v>
      </c>
      <c r="N249" s="425">
        <f>(M249*3.2808399)*0.09290304</f>
        <v>0.25400000038608006</v>
      </c>
    </row>
    <row r="250" spans="6:14" x14ac:dyDescent="0.2">
      <c r="F250" s="413"/>
      <c r="G250" s="349"/>
      <c r="H250" s="413"/>
      <c r="I250" s="415" t="s">
        <v>1532</v>
      </c>
      <c r="J250" s="16">
        <v>0.1875</v>
      </c>
      <c r="K250" s="66">
        <v>5.59</v>
      </c>
      <c r="L250" s="425">
        <f>K250*3.2808399*0.4535924</f>
        <v>8.31883700739529</v>
      </c>
      <c r="M250" s="426">
        <f>(3*2+2*2)*12/144</f>
        <v>0.83333333333333337</v>
      </c>
      <c r="N250" s="425">
        <f>(M250*3.2808399)*0.09290304</f>
        <v>0.25400000038608006</v>
      </c>
    </row>
    <row r="251" spans="6:14" x14ac:dyDescent="0.2">
      <c r="F251" s="413"/>
      <c r="G251" s="349"/>
      <c r="H251" s="413"/>
      <c r="I251" s="67"/>
      <c r="J251" s="419"/>
      <c r="K251" s="420"/>
      <c r="L251" s="420"/>
      <c r="M251" s="420"/>
      <c r="N251" s="421"/>
    </row>
    <row r="252" spans="6:14" x14ac:dyDescent="0.2">
      <c r="F252" s="166"/>
      <c r="G252" s="166"/>
      <c r="H252" s="166"/>
    </row>
    <row r="253" spans="6:14" x14ac:dyDescent="0.2">
      <c r="F253" s="166"/>
      <c r="G253" s="166"/>
    </row>
  </sheetData>
  <sheetProtection password="CDD2" sheet="1" objects="1" scenarios="1"/>
  <pageMargins left="0.75" right="0.75" top="1" bottom="1" header="0.5" footer="0.5"/>
  <pageSetup orientation="portrait" verticalDpi="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E29"/>
  <sheetViews>
    <sheetView zoomScale="65" workbookViewId="0">
      <selection sqref="A1:AE1"/>
    </sheetView>
  </sheetViews>
  <sheetFormatPr defaultRowHeight="12.75" x14ac:dyDescent="0.2"/>
  <cols>
    <col min="1" max="1" width="6.5703125" customWidth="1"/>
    <col min="2" max="2" width="7.42578125" customWidth="1"/>
    <col min="3" max="3" width="7.85546875" customWidth="1"/>
    <col min="4" max="4" width="7.42578125" customWidth="1"/>
    <col min="5" max="7" width="7" customWidth="1"/>
    <col min="8" max="8" width="6.42578125" customWidth="1"/>
    <col min="9" max="10" width="7.42578125" customWidth="1"/>
    <col min="11" max="11" width="7.85546875" customWidth="1"/>
    <col min="12" max="12" width="7" customWidth="1"/>
    <col min="13" max="13" width="7.5703125" customWidth="1"/>
    <col min="14" max="14" width="3.85546875" customWidth="1"/>
    <col min="15" max="16" width="7" customWidth="1"/>
    <col min="17" max="17" width="7.42578125" customWidth="1"/>
    <col min="18" max="18" width="3.85546875" customWidth="1"/>
    <col min="19" max="19" width="7.85546875" customWidth="1"/>
    <col min="20" max="22" width="7.42578125" customWidth="1"/>
    <col min="23" max="23" width="9" customWidth="1"/>
    <col min="24" max="24" width="7.140625" customWidth="1"/>
    <col min="25" max="25" width="8.28515625" customWidth="1"/>
    <col min="26" max="26" width="7" customWidth="1"/>
    <col min="27" max="27" width="3.85546875" customWidth="1"/>
    <col min="28" max="28" width="6.5703125" customWidth="1"/>
    <col min="29" max="29" width="5.7109375" customWidth="1"/>
    <col min="30" max="31" width="6.42578125" customWidth="1"/>
    <col min="32" max="38" width="7.7109375" customWidth="1"/>
  </cols>
  <sheetData>
    <row r="1" spans="1:31" ht="25.5" customHeight="1" thickTop="1" thickBot="1" x14ac:dyDescent="0.25">
      <c r="A1" s="1338" t="s">
        <v>801</v>
      </c>
      <c r="B1" s="1339"/>
      <c r="C1" s="1339"/>
      <c r="D1" s="1339"/>
      <c r="E1" s="1339"/>
      <c r="F1" s="1339"/>
      <c r="G1" s="1339"/>
      <c r="H1" s="1339"/>
      <c r="I1" s="1339"/>
      <c r="J1" s="1339"/>
      <c r="K1" s="1339"/>
      <c r="L1" s="1339"/>
      <c r="M1" s="1339"/>
      <c r="N1" s="1339"/>
      <c r="O1" s="1339"/>
      <c r="P1" s="1339"/>
      <c r="Q1" s="1339"/>
      <c r="R1" s="1339"/>
      <c r="S1" s="1339"/>
      <c r="T1" s="1339"/>
      <c r="U1" s="1339"/>
      <c r="V1" s="1339"/>
      <c r="W1" s="1339"/>
      <c r="X1" s="1339"/>
      <c r="Y1" s="1339"/>
      <c r="Z1" s="1339"/>
      <c r="AA1" s="1339"/>
      <c r="AB1" s="1339"/>
      <c r="AC1" s="1339"/>
      <c r="AD1" s="1339"/>
      <c r="AE1" s="1340"/>
    </row>
    <row r="2" spans="1:31" ht="221.25" customHeight="1" thickTop="1" thickBot="1" x14ac:dyDescent="0.25">
      <c r="A2" s="1313"/>
      <c r="B2" s="1314"/>
      <c r="C2" s="1314"/>
      <c r="D2" s="1314"/>
      <c r="E2" s="1314"/>
      <c r="F2" s="1314"/>
      <c r="G2" s="1314"/>
      <c r="H2" s="1314"/>
      <c r="I2" s="1314"/>
      <c r="J2" s="1314"/>
      <c r="K2" s="1314"/>
      <c r="L2" s="1314"/>
      <c r="M2" s="1314"/>
      <c r="N2" s="1314"/>
      <c r="O2" s="1314"/>
      <c r="P2" s="1314"/>
      <c r="Q2" s="1314"/>
      <c r="R2" s="1314"/>
      <c r="S2" s="1314"/>
      <c r="T2" s="1314"/>
      <c r="U2" s="1314"/>
      <c r="V2" s="1314"/>
      <c r="W2" s="1314"/>
      <c r="X2" s="1314"/>
      <c r="Y2" s="1314"/>
      <c r="Z2" s="1314"/>
      <c r="AA2" s="1314"/>
      <c r="AB2" s="1314"/>
      <c r="AC2" s="467"/>
      <c r="AD2" s="467"/>
      <c r="AE2" s="468"/>
    </row>
    <row r="3" spans="1:31" ht="28.5" customHeight="1" thickBot="1" x14ac:dyDescent="0.25">
      <c r="A3" s="1315" t="s">
        <v>753</v>
      </c>
      <c r="B3" s="1315" t="s">
        <v>754</v>
      </c>
      <c r="C3" s="1315" t="s">
        <v>755</v>
      </c>
      <c r="D3" s="1315" t="s">
        <v>756</v>
      </c>
      <c r="E3" s="1315" t="s">
        <v>757</v>
      </c>
      <c r="F3" s="1315" t="s">
        <v>758</v>
      </c>
      <c r="G3" s="1315" t="s">
        <v>759</v>
      </c>
      <c r="H3" s="1315" t="s">
        <v>760</v>
      </c>
      <c r="I3" s="1315" t="s">
        <v>761</v>
      </c>
      <c r="J3" s="1315" t="s">
        <v>762</v>
      </c>
      <c r="K3" s="1315" t="s">
        <v>763</v>
      </c>
      <c r="L3" s="1333" t="s">
        <v>764</v>
      </c>
      <c r="M3" s="1333"/>
      <c r="N3" s="1333"/>
      <c r="O3" s="1315" t="s">
        <v>765</v>
      </c>
      <c r="P3" s="1333" t="s">
        <v>766</v>
      </c>
      <c r="Q3" s="1333"/>
      <c r="R3" s="1333"/>
      <c r="S3" s="1336" t="s">
        <v>802</v>
      </c>
      <c r="T3" s="1336" t="s">
        <v>768</v>
      </c>
      <c r="U3" s="1335" t="s">
        <v>769</v>
      </c>
      <c r="V3" s="1335"/>
      <c r="W3" s="1335"/>
      <c r="X3" s="1335"/>
      <c r="Y3" s="1335"/>
      <c r="Z3" s="1335"/>
      <c r="AA3" s="1335"/>
      <c r="AB3" s="1315" t="s">
        <v>753</v>
      </c>
      <c r="AC3" s="1317" t="s">
        <v>770</v>
      </c>
      <c r="AD3" s="1320" t="s">
        <v>771</v>
      </c>
      <c r="AE3" s="1321"/>
    </row>
    <row r="4" spans="1:31" ht="45.75" customHeight="1" thickBot="1" x14ac:dyDescent="0.25">
      <c r="A4" s="1316"/>
      <c r="B4" s="1316"/>
      <c r="C4" s="1316"/>
      <c r="D4" s="1316"/>
      <c r="E4" s="1316"/>
      <c r="F4" s="1316"/>
      <c r="G4" s="1316"/>
      <c r="H4" s="1316"/>
      <c r="I4" s="1316"/>
      <c r="J4" s="1316"/>
      <c r="K4" s="1316"/>
      <c r="L4" s="1334"/>
      <c r="M4" s="1334"/>
      <c r="N4" s="1334"/>
      <c r="O4" s="1316"/>
      <c r="P4" s="1334"/>
      <c r="Q4" s="1334"/>
      <c r="R4" s="1334"/>
      <c r="S4" s="1337"/>
      <c r="T4" s="1337"/>
      <c r="U4" s="1228" t="s">
        <v>772</v>
      </c>
      <c r="V4" s="1228" t="s">
        <v>773</v>
      </c>
      <c r="W4" s="1228" t="s">
        <v>774</v>
      </c>
      <c r="X4" s="1228" t="s">
        <v>775</v>
      </c>
      <c r="Y4" s="1228" t="s">
        <v>776</v>
      </c>
      <c r="Z4" s="1228" t="s">
        <v>777</v>
      </c>
      <c r="AA4" s="1228" t="s">
        <v>778</v>
      </c>
      <c r="AB4" s="1316"/>
      <c r="AC4" s="1318"/>
      <c r="AD4" s="1322" t="s">
        <v>779</v>
      </c>
      <c r="AE4" s="1322" t="s">
        <v>780</v>
      </c>
    </row>
    <row r="5" spans="1:31" ht="13.5" thickBot="1" x14ac:dyDescent="0.25">
      <c r="A5" s="1248"/>
      <c r="B5" s="1248"/>
      <c r="C5" s="1249" t="s">
        <v>1872</v>
      </c>
      <c r="D5" s="1249" t="s">
        <v>1873</v>
      </c>
      <c r="E5" s="1249" t="s">
        <v>1779</v>
      </c>
      <c r="F5" s="1249" t="s">
        <v>1769</v>
      </c>
      <c r="G5" s="1249" t="s">
        <v>1876</v>
      </c>
      <c r="H5" s="1249" t="s">
        <v>781</v>
      </c>
      <c r="I5" s="1249" t="s">
        <v>1877</v>
      </c>
      <c r="J5" s="1249" t="s">
        <v>1895</v>
      </c>
      <c r="K5" s="1249" t="s">
        <v>782</v>
      </c>
      <c r="L5" s="1249" t="s">
        <v>1874</v>
      </c>
      <c r="M5" s="1249" t="s">
        <v>783</v>
      </c>
      <c r="N5" s="1249" t="s">
        <v>1894</v>
      </c>
      <c r="O5" s="1249" t="s">
        <v>784</v>
      </c>
      <c r="P5" s="1249" t="s">
        <v>1921</v>
      </c>
      <c r="Q5" s="1249" t="s">
        <v>785</v>
      </c>
      <c r="R5" s="1249" t="s">
        <v>786</v>
      </c>
      <c r="S5" s="1249" t="s">
        <v>658</v>
      </c>
      <c r="T5" s="1249" t="s">
        <v>787</v>
      </c>
      <c r="U5" s="1249" t="s">
        <v>788</v>
      </c>
      <c r="V5" s="1249" t="s">
        <v>1768</v>
      </c>
      <c r="W5" s="1249" t="s">
        <v>1875</v>
      </c>
      <c r="X5" s="1249" t="s">
        <v>789</v>
      </c>
      <c r="Y5" s="1249" t="s">
        <v>790</v>
      </c>
      <c r="Z5" s="1249" t="s">
        <v>791</v>
      </c>
      <c r="AA5" s="1249" t="s">
        <v>792</v>
      </c>
      <c r="AB5" s="1248"/>
      <c r="AC5" s="1319"/>
      <c r="AD5" s="1323"/>
      <c r="AE5" s="1323"/>
    </row>
    <row r="6" spans="1:31" ht="15" customHeight="1" thickBot="1" x14ac:dyDescent="0.25">
      <c r="A6" s="1249" t="s">
        <v>119</v>
      </c>
      <c r="B6" s="1231">
        <v>1.3125</v>
      </c>
      <c r="C6" s="1232">
        <v>2.4375</v>
      </c>
      <c r="D6" s="1233">
        <v>4.875</v>
      </c>
      <c r="E6" s="1233" t="s">
        <v>793</v>
      </c>
      <c r="F6" s="1233">
        <v>1.5</v>
      </c>
      <c r="G6" s="1233">
        <v>2</v>
      </c>
      <c r="H6" s="1233">
        <v>1.5</v>
      </c>
      <c r="I6" s="1232">
        <v>3.9375</v>
      </c>
      <c r="J6" s="1232">
        <v>3.9375</v>
      </c>
      <c r="K6" s="1232">
        <v>3.3125</v>
      </c>
      <c r="L6" s="1250"/>
      <c r="M6" s="1250"/>
      <c r="N6" s="1250"/>
      <c r="O6" s="1250"/>
      <c r="P6" s="1250"/>
      <c r="Q6" s="1250"/>
      <c r="R6" s="1250"/>
      <c r="S6" s="1233"/>
      <c r="T6" s="1233"/>
      <c r="U6" s="1233">
        <v>6.5</v>
      </c>
      <c r="V6" s="1233"/>
      <c r="W6" s="1233"/>
      <c r="X6" s="1250"/>
      <c r="Y6" s="1250"/>
      <c r="Z6" s="1250"/>
      <c r="AA6" s="1234"/>
      <c r="AB6" s="1249" t="s">
        <v>119</v>
      </c>
      <c r="AC6" s="1235">
        <v>4</v>
      </c>
      <c r="AD6" s="1236">
        <v>0.625</v>
      </c>
      <c r="AE6" s="1236">
        <v>3.25</v>
      </c>
    </row>
    <row r="7" spans="1:31" ht="15" customHeight="1" thickBot="1" x14ac:dyDescent="0.25">
      <c r="A7" s="1249" t="s">
        <v>794</v>
      </c>
      <c r="B7" s="1237">
        <v>1.875</v>
      </c>
      <c r="C7" s="157">
        <v>2.6875</v>
      </c>
      <c r="D7" s="1238">
        <v>6.125</v>
      </c>
      <c r="E7" s="1238">
        <v>1.125</v>
      </c>
      <c r="F7" s="1238">
        <v>2.25</v>
      </c>
      <c r="G7" s="1238">
        <v>2.5</v>
      </c>
      <c r="H7" s="1238">
        <v>1.5</v>
      </c>
      <c r="I7" s="157">
        <v>4.9375</v>
      </c>
      <c r="J7" s="157">
        <v>4.9375</v>
      </c>
      <c r="K7" s="157">
        <v>3.8125</v>
      </c>
      <c r="L7" s="1238">
        <v>7.5</v>
      </c>
      <c r="M7" s="1238">
        <v>16.75</v>
      </c>
      <c r="N7" s="1239">
        <v>8</v>
      </c>
      <c r="O7" s="216"/>
      <c r="P7" s="216"/>
      <c r="Q7" s="216"/>
      <c r="R7" s="216"/>
      <c r="S7" s="1238"/>
      <c r="T7" s="1238"/>
      <c r="U7" s="1238">
        <v>7.5</v>
      </c>
      <c r="V7" s="1238"/>
      <c r="W7" s="1238"/>
      <c r="X7" s="216"/>
      <c r="Y7" s="216"/>
      <c r="Z7" s="216"/>
      <c r="AA7" s="1238"/>
      <c r="AB7" s="1249" t="s">
        <v>794</v>
      </c>
      <c r="AC7" s="1240">
        <v>4</v>
      </c>
      <c r="AD7" s="1241">
        <v>0.75</v>
      </c>
      <c r="AE7" s="1241">
        <v>3.75</v>
      </c>
    </row>
    <row r="8" spans="1:31" ht="15" customHeight="1" thickBot="1" x14ac:dyDescent="0.25">
      <c r="A8" s="1249" t="s">
        <v>189</v>
      </c>
      <c r="B8" s="1242">
        <v>2.375</v>
      </c>
      <c r="C8" s="1243">
        <v>2.75</v>
      </c>
      <c r="D8" s="1243">
        <v>6.5</v>
      </c>
      <c r="E8" s="1243">
        <v>1.375</v>
      </c>
      <c r="F8" s="1243">
        <v>2.5</v>
      </c>
      <c r="G8" s="1243">
        <v>3</v>
      </c>
      <c r="H8" s="1243">
        <v>1.5</v>
      </c>
      <c r="I8" s="1243">
        <v>5.75</v>
      </c>
      <c r="J8" s="1243">
        <v>5.25</v>
      </c>
      <c r="K8" s="1243">
        <v>4.125</v>
      </c>
      <c r="L8" s="1243">
        <v>8.5</v>
      </c>
      <c r="M8" s="1243">
        <v>18</v>
      </c>
      <c r="N8" s="1244">
        <v>8</v>
      </c>
      <c r="O8" s="1243">
        <v>10.5</v>
      </c>
      <c r="P8" s="1243">
        <v>10.5</v>
      </c>
      <c r="Q8" s="1243">
        <v>17.75</v>
      </c>
      <c r="R8" s="1244">
        <v>9</v>
      </c>
      <c r="S8" s="1243"/>
      <c r="T8" s="1243">
        <v>2.375</v>
      </c>
      <c r="U8" s="1243">
        <v>8.5</v>
      </c>
      <c r="V8" s="1243">
        <v>8.5</v>
      </c>
      <c r="W8" s="2">
        <v>4.0625</v>
      </c>
      <c r="X8" s="211"/>
      <c r="Y8" s="211"/>
      <c r="Z8" s="211"/>
      <c r="AA8" s="1244">
        <v>23</v>
      </c>
      <c r="AB8" s="1249" t="s">
        <v>189</v>
      </c>
      <c r="AC8" s="1245">
        <v>8</v>
      </c>
      <c r="AD8" s="1246">
        <v>0.625</v>
      </c>
      <c r="AE8" s="1246">
        <v>3.5</v>
      </c>
    </row>
    <row r="9" spans="1:31" ht="15" customHeight="1" thickBot="1" x14ac:dyDescent="0.25">
      <c r="A9" s="1249" t="s">
        <v>795</v>
      </c>
      <c r="B9" s="1237">
        <v>2.875</v>
      </c>
      <c r="C9" s="1238">
        <v>3</v>
      </c>
      <c r="D9" s="1238">
        <v>7.5</v>
      </c>
      <c r="E9" s="1238">
        <v>1.75</v>
      </c>
      <c r="F9" s="1238">
        <v>3</v>
      </c>
      <c r="G9" s="1238">
        <v>3.5</v>
      </c>
      <c r="H9" s="1238">
        <v>1.5</v>
      </c>
      <c r="I9" s="1238">
        <v>6.75</v>
      </c>
      <c r="J9" s="1238">
        <v>6</v>
      </c>
      <c r="K9" s="1238">
        <v>4.75</v>
      </c>
      <c r="L9" s="1238">
        <v>9.5</v>
      </c>
      <c r="M9" s="1238">
        <v>19</v>
      </c>
      <c r="N9" s="1239">
        <v>8</v>
      </c>
      <c r="O9" s="1238">
        <v>11.5</v>
      </c>
      <c r="P9" s="1238">
        <v>11.5</v>
      </c>
      <c r="Q9" s="1238">
        <v>19</v>
      </c>
      <c r="R9" s="1239">
        <v>10</v>
      </c>
      <c r="S9" s="1238"/>
      <c r="T9" s="1238">
        <v>2.625</v>
      </c>
      <c r="U9" s="1238"/>
      <c r="V9" s="1238"/>
      <c r="W9" s="1238"/>
      <c r="X9" s="216"/>
      <c r="Y9" s="216"/>
      <c r="Z9" s="216"/>
      <c r="AA9" s="1239"/>
      <c r="AB9" s="1249" t="s">
        <v>795</v>
      </c>
      <c r="AC9" s="1240">
        <v>8</v>
      </c>
      <c r="AD9" s="1241">
        <v>0.75</v>
      </c>
      <c r="AE9" s="1241">
        <v>4</v>
      </c>
    </row>
    <row r="10" spans="1:31" ht="15" customHeight="1" thickBot="1" x14ac:dyDescent="0.25">
      <c r="A10" s="1249" t="s">
        <v>241</v>
      </c>
      <c r="B10" s="1242">
        <v>3.5</v>
      </c>
      <c r="C10" s="1243">
        <v>3.125</v>
      </c>
      <c r="D10" s="1243">
        <v>8.25</v>
      </c>
      <c r="E10" s="1243">
        <v>2</v>
      </c>
      <c r="F10" s="1243">
        <v>3.375</v>
      </c>
      <c r="G10" s="1243">
        <v>3.5</v>
      </c>
      <c r="H10" s="1243">
        <v>2</v>
      </c>
      <c r="I10" s="1243">
        <v>7.625</v>
      </c>
      <c r="J10" s="1243">
        <v>6.5</v>
      </c>
      <c r="K10" s="1243">
        <v>5.125</v>
      </c>
      <c r="L10" s="1243">
        <v>11.125</v>
      </c>
      <c r="M10" s="1243">
        <v>23.25</v>
      </c>
      <c r="N10" s="1244">
        <v>9</v>
      </c>
      <c r="O10" s="1243">
        <v>12.5</v>
      </c>
      <c r="P10" s="1243">
        <v>12.5</v>
      </c>
      <c r="Q10" s="1243">
        <v>20.5</v>
      </c>
      <c r="R10" s="1244">
        <v>10</v>
      </c>
      <c r="S10" s="1243">
        <v>1.875</v>
      </c>
      <c r="T10" s="1243">
        <v>2.875</v>
      </c>
      <c r="U10" s="1243">
        <v>11.125</v>
      </c>
      <c r="V10" s="1243">
        <v>11.125</v>
      </c>
      <c r="W10" s="2">
        <v>7.0625</v>
      </c>
      <c r="X10" s="1243">
        <v>3.125</v>
      </c>
      <c r="Y10" s="2">
        <v>10.0625</v>
      </c>
      <c r="Z10" s="1243">
        <v>17.125</v>
      </c>
      <c r="AA10" s="1244">
        <v>33</v>
      </c>
      <c r="AB10" s="1249" t="s">
        <v>241</v>
      </c>
      <c r="AC10" s="1245">
        <v>8</v>
      </c>
      <c r="AD10" s="1246">
        <v>0.75</v>
      </c>
      <c r="AE10" s="1246">
        <v>4.25</v>
      </c>
    </row>
    <row r="11" spans="1:31" ht="15" customHeight="1" thickBot="1" x14ac:dyDescent="0.25">
      <c r="A11" s="1249" t="s">
        <v>253</v>
      </c>
      <c r="B11" s="1237">
        <v>4.5</v>
      </c>
      <c r="C11" s="1238">
        <v>3.375</v>
      </c>
      <c r="D11" s="1238">
        <v>10</v>
      </c>
      <c r="E11" s="1238">
        <v>2.5</v>
      </c>
      <c r="F11" s="1238">
        <v>4.125</v>
      </c>
      <c r="G11" s="1238">
        <v>4</v>
      </c>
      <c r="H11" s="1238">
        <v>2.5</v>
      </c>
      <c r="I11" s="1238">
        <v>9.375</v>
      </c>
      <c r="J11" s="1238">
        <v>7.5</v>
      </c>
      <c r="K11" s="1238">
        <v>5.875</v>
      </c>
      <c r="L11" s="1238">
        <v>12</v>
      </c>
      <c r="M11" s="1238">
        <v>28.25</v>
      </c>
      <c r="N11" s="1239">
        <v>10</v>
      </c>
      <c r="O11" s="1238">
        <v>14</v>
      </c>
      <c r="P11" s="1238">
        <v>14</v>
      </c>
      <c r="Q11" s="1238">
        <v>24.75</v>
      </c>
      <c r="R11" s="1239">
        <v>14</v>
      </c>
      <c r="S11" s="1238">
        <v>2.125</v>
      </c>
      <c r="T11" s="1238">
        <v>2.875</v>
      </c>
      <c r="U11" s="1238">
        <v>12</v>
      </c>
      <c r="V11" s="1238">
        <v>12</v>
      </c>
      <c r="W11" s="1238">
        <v>8</v>
      </c>
      <c r="X11" s="1238">
        <v>3.125</v>
      </c>
      <c r="Y11" s="1238">
        <v>10.0625</v>
      </c>
      <c r="Z11" s="1238">
        <v>17.125</v>
      </c>
      <c r="AA11" s="1239">
        <v>44</v>
      </c>
      <c r="AB11" s="1249" t="s">
        <v>253</v>
      </c>
      <c r="AC11" s="1240">
        <v>8</v>
      </c>
      <c r="AD11" s="1241">
        <v>0.75</v>
      </c>
      <c r="AE11" s="1241">
        <v>4.5</v>
      </c>
    </row>
    <row r="12" spans="1:31" ht="15" customHeight="1" thickBot="1" x14ac:dyDescent="0.25">
      <c r="A12" s="1249" t="s">
        <v>254</v>
      </c>
      <c r="B12" s="1242">
        <v>6.625</v>
      </c>
      <c r="C12" s="1243">
        <v>3.875</v>
      </c>
      <c r="D12" s="1243">
        <v>12.5</v>
      </c>
      <c r="E12" s="1243">
        <v>3.75</v>
      </c>
      <c r="F12" s="1243">
        <v>5.625</v>
      </c>
      <c r="G12" s="1243">
        <v>5.5</v>
      </c>
      <c r="H12" s="1243">
        <v>3.5</v>
      </c>
      <c r="I12" s="1243">
        <v>12.875</v>
      </c>
      <c r="J12" s="1243">
        <v>9.5</v>
      </c>
      <c r="K12" s="1243">
        <v>7.625</v>
      </c>
      <c r="L12" s="1243">
        <v>15.875</v>
      </c>
      <c r="M12" s="1243">
        <v>38.5</v>
      </c>
      <c r="N12" s="1244">
        <v>14</v>
      </c>
      <c r="O12" s="1243">
        <v>17.5</v>
      </c>
      <c r="P12" s="1243">
        <v>17.5</v>
      </c>
      <c r="Q12" s="1243">
        <v>29.75</v>
      </c>
      <c r="R12" s="1244">
        <v>18</v>
      </c>
      <c r="S12" s="2">
        <v>2.3125</v>
      </c>
      <c r="T12" s="1243">
        <v>3.875</v>
      </c>
      <c r="U12" s="1243">
        <v>15.875</v>
      </c>
      <c r="V12" s="1243">
        <v>15.875</v>
      </c>
      <c r="W12" s="2">
        <v>10.8125</v>
      </c>
      <c r="X12" s="1243">
        <v>5</v>
      </c>
      <c r="Y12" s="1243">
        <v>11.5</v>
      </c>
      <c r="Z12" s="1244">
        <v>24</v>
      </c>
      <c r="AA12" s="211"/>
      <c r="AB12" s="1249" t="s">
        <v>254</v>
      </c>
      <c r="AC12" s="1245">
        <v>12</v>
      </c>
      <c r="AD12" s="1246">
        <v>0.75</v>
      </c>
      <c r="AE12" s="1246">
        <v>5</v>
      </c>
    </row>
    <row r="13" spans="1:31" ht="15" customHeight="1" thickBot="1" x14ac:dyDescent="0.25">
      <c r="A13" s="1249" t="s">
        <v>278</v>
      </c>
      <c r="B13" s="1237">
        <v>8.625</v>
      </c>
      <c r="C13" s="1238">
        <v>4.375</v>
      </c>
      <c r="D13" s="1238">
        <v>15</v>
      </c>
      <c r="E13" s="1238">
        <v>5</v>
      </c>
      <c r="F13" s="1238">
        <v>7</v>
      </c>
      <c r="G13" s="1238">
        <v>6</v>
      </c>
      <c r="H13" s="1238">
        <v>4</v>
      </c>
      <c r="I13" s="1238">
        <v>16.375</v>
      </c>
      <c r="J13" s="1238">
        <v>11.375</v>
      </c>
      <c r="K13" s="1238">
        <v>9.375</v>
      </c>
      <c r="L13" s="1238">
        <v>16.5</v>
      </c>
      <c r="M13" s="1238">
        <v>47</v>
      </c>
      <c r="N13" s="1239">
        <v>16</v>
      </c>
      <c r="O13" s="1238">
        <v>21</v>
      </c>
      <c r="P13" s="1238">
        <v>22</v>
      </c>
      <c r="Q13" s="1238">
        <v>36.5</v>
      </c>
      <c r="R13" s="1239">
        <v>24</v>
      </c>
      <c r="S13" s="1238">
        <v>2.875</v>
      </c>
      <c r="T13" s="1238">
        <v>5</v>
      </c>
      <c r="U13" s="1238">
        <v>19.75</v>
      </c>
      <c r="V13" s="1238">
        <v>19.75</v>
      </c>
      <c r="W13" s="1238">
        <v>12.5</v>
      </c>
      <c r="X13" s="1238">
        <v>5</v>
      </c>
      <c r="Y13" s="1238">
        <v>11.5</v>
      </c>
      <c r="Z13" s="1239">
        <v>24</v>
      </c>
      <c r="AA13" s="216"/>
      <c r="AB13" s="1249" t="s">
        <v>278</v>
      </c>
      <c r="AC13" s="1240">
        <v>12</v>
      </c>
      <c r="AD13" s="1241">
        <v>0.875</v>
      </c>
      <c r="AE13" s="1241">
        <v>5.5</v>
      </c>
    </row>
    <row r="14" spans="1:31" ht="15" customHeight="1" thickBot="1" x14ac:dyDescent="0.25">
      <c r="A14" s="1249" t="s">
        <v>279</v>
      </c>
      <c r="B14" s="1242">
        <v>10.75</v>
      </c>
      <c r="C14" s="1243">
        <v>4.625</v>
      </c>
      <c r="D14" s="1243">
        <v>17.5</v>
      </c>
      <c r="E14" s="1243">
        <v>6.25</v>
      </c>
      <c r="F14" s="1243">
        <v>8.5</v>
      </c>
      <c r="G14" s="1243">
        <v>7</v>
      </c>
      <c r="H14" s="1243">
        <v>5</v>
      </c>
      <c r="I14" s="1243">
        <v>19.625</v>
      </c>
      <c r="J14" s="1243">
        <v>13.125</v>
      </c>
      <c r="K14" s="1243">
        <v>10.875</v>
      </c>
      <c r="L14" s="1243">
        <v>18</v>
      </c>
      <c r="M14" s="1243">
        <v>56.5</v>
      </c>
      <c r="N14" s="1244">
        <v>20</v>
      </c>
      <c r="O14" s="1243">
        <v>24.5</v>
      </c>
      <c r="P14" s="1243"/>
      <c r="Q14" s="1243"/>
      <c r="R14" s="211"/>
      <c r="S14" s="2">
        <v>3.3125</v>
      </c>
      <c r="T14" s="1243">
        <v>5.75</v>
      </c>
      <c r="U14" s="1243">
        <v>22.375</v>
      </c>
      <c r="V14" s="1243">
        <v>22.375</v>
      </c>
      <c r="W14" s="1243">
        <v>15.625</v>
      </c>
      <c r="X14" s="2">
        <v>3.6875</v>
      </c>
      <c r="Y14" s="2">
        <v>18.9375</v>
      </c>
      <c r="Z14" s="1243">
        <v>30.25</v>
      </c>
      <c r="AA14" s="211"/>
      <c r="AB14" s="1249" t="s">
        <v>279</v>
      </c>
      <c r="AC14" s="1245">
        <v>16</v>
      </c>
      <c r="AD14" s="1246">
        <v>1</v>
      </c>
      <c r="AE14" s="1246">
        <v>6.25</v>
      </c>
    </row>
    <row r="15" spans="1:31" ht="15" customHeight="1" thickBot="1" x14ac:dyDescent="0.25">
      <c r="A15" s="1249" t="s">
        <v>280</v>
      </c>
      <c r="B15" s="1237">
        <v>12.75</v>
      </c>
      <c r="C15" s="1238">
        <v>5.125</v>
      </c>
      <c r="D15" s="1238">
        <v>20.5</v>
      </c>
      <c r="E15" s="1238">
        <v>7.5</v>
      </c>
      <c r="F15" s="1238">
        <v>10</v>
      </c>
      <c r="G15" s="1238">
        <v>8</v>
      </c>
      <c r="H15" s="1238">
        <v>6</v>
      </c>
      <c r="I15" s="1238">
        <v>23.125</v>
      </c>
      <c r="J15" s="1238">
        <v>15.125</v>
      </c>
      <c r="K15" s="1238">
        <v>12.625</v>
      </c>
      <c r="L15" s="1238">
        <v>19.75</v>
      </c>
      <c r="M15" s="1238">
        <v>64.25</v>
      </c>
      <c r="N15" s="1239">
        <v>20</v>
      </c>
      <c r="O15" s="1238">
        <v>28</v>
      </c>
      <c r="P15" s="1238"/>
      <c r="Q15" s="1238"/>
      <c r="R15" s="216"/>
      <c r="S15" s="1238">
        <v>3.625</v>
      </c>
      <c r="T15" s="1238">
        <v>7.125</v>
      </c>
      <c r="U15" s="1238">
        <v>25.5</v>
      </c>
      <c r="V15" s="1238">
        <v>25.5</v>
      </c>
      <c r="W15" s="157">
        <v>16.8125</v>
      </c>
      <c r="X15" s="157">
        <v>3.6875</v>
      </c>
      <c r="Y15" s="157">
        <v>18.9375</v>
      </c>
      <c r="Z15" s="1238">
        <v>30.25</v>
      </c>
      <c r="AA15" s="216"/>
      <c r="AB15" s="1249" t="s">
        <v>280</v>
      </c>
      <c r="AC15" s="1240">
        <v>16</v>
      </c>
      <c r="AD15" s="1241">
        <v>1.125</v>
      </c>
      <c r="AE15" s="1241">
        <v>6.75</v>
      </c>
    </row>
    <row r="16" spans="1:31" ht="15" customHeight="1" thickBot="1" x14ac:dyDescent="0.25">
      <c r="A16" s="1249" t="s">
        <v>281</v>
      </c>
      <c r="B16" s="1242">
        <v>14</v>
      </c>
      <c r="C16" s="1243">
        <v>5.625</v>
      </c>
      <c r="D16" s="1243">
        <v>23</v>
      </c>
      <c r="E16" s="1243">
        <v>8.75</v>
      </c>
      <c r="F16" s="1243">
        <v>11</v>
      </c>
      <c r="G16" s="1243">
        <v>13</v>
      </c>
      <c r="H16" s="1243">
        <v>6.5</v>
      </c>
      <c r="I16" s="1243">
        <v>26.625</v>
      </c>
      <c r="J16" s="1243">
        <v>16.625</v>
      </c>
      <c r="K16" s="1243">
        <v>14.375</v>
      </c>
      <c r="L16" s="1243">
        <v>30</v>
      </c>
      <c r="M16" s="1243">
        <v>75.25</v>
      </c>
      <c r="N16" s="1244">
        <v>27</v>
      </c>
      <c r="O16" s="211"/>
      <c r="P16" s="211"/>
      <c r="Q16" s="211"/>
      <c r="R16" s="211"/>
      <c r="S16" s="1243">
        <v>4.625</v>
      </c>
      <c r="T16" s="1243">
        <v>8.75</v>
      </c>
      <c r="U16" s="211">
        <v>30</v>
      </c>
      <c r="V16" s="1244">
        <v>30</v>
      </c>
      <c r="W16" s="2">
        <v>18.4375</v>
      </c>
      <c r="X16" s="2">
        <v>3.6875</v>
      </c>
      <c r="Y16" s="2">
        <v>18.9375</v>
      </c>
      <c r="Z16" s="1243">
        <v>30.25</v>
      </c>
      <c r="AA16" s="211"/>
      <c r="AB16" s="1249" t="s">
        <v>281</v>
      </c>
      <c r="AC16" s="1245">
        <v>20</v>
      </c>
      <c r="AD16" s="1246">
        <v>1.125</v>
      </c>
      <c r="AE16" s="1246">
        <v>7</v>
      </c>
    </row>
    <row r="17" spans="1:31" ht="15" customHeight="1" thickBot="1" x14ac:dyDescent="0.25">
      <c r="A17" s="1249" t="s">
        <v>282</v>
      </c>
      <c r="B17" s="1237">
        <v>16</v>
      </c>
      <c r="C17" s="1238">
        <v>5.75</v>
      </c>
      <c r="D17" s="1238">
        <v>25.5</v>
      </c>
      <c r="E17" s="1238">
        <v>10</v>
      </c>
      <c r="F17" s="1238">
        <v>12</v>
      </c>
      <c r="G17" s="1238">
        <v>14</v>
      </c>
      <c r="H17" s="1238">
        <v>7</v>
      </c>
      <c r="I17" s="1238">
        <v>29.75</v>
      </c>
      <c r="J17" s="1238">
        <v>17.75</v>
      </c>
      <c r="K17" s="1238">
        <v>15.75</v>
      </c>
      <c r="L17" s="1238">
        <v>33</v>
      </c>
      <c r="M17" s="1238">
        <v>81</v>
      </c>
      <c r="N17" s="1239">
        <v>27</v>
      </c>
      <c r="O17" s="216"/>
      <c r="P17" s="216"/>
      <c r="Q17" s="216"/>
      <c r="R17" s="216"/>
      <c r="S17" s="1238">
        <v>5.25</v>
      </c>
      <c r="T17" s="1238">
        <v>9.125</v>
      </c>
      <c r="U17" s="216">
        <v>33</v>
      </c>
      <c r="V17" s="1239">
        <v>33</v>
      </c>
      <c r="W17" s="1238">
        <v>20.125</v>
      </c>
      <c r="X17" s="157">
        <v>3.6875</v>
      </c>
      <c r="Y17" s="157">
        <v>18.9375</v>
      </c>
      <c r="Z17" s="1238">
        <v>39</v>
      </c>
      <c r="AA17" s="216"/>
      <c r="AB17" s="1249" t="s">
        <v>282</v>
      </c>
      <c r="AC17" s="1240">
        <v>20</v>
      </c>
      <c r="AD17" s="1241">
        <v>1.25</v>
      </c>
      <c r="AE17" s="1241">
        <v>7.5</v>
      </c>
    </row>
    <row r="18" spans="1:31" ht="15" customHeight="1" thickBot="1" x14ac:dyDescent="0.25">
      <c r="A18" s="1249" t="s">
        <v>283</v>
      </c>
      <c r="B18" s="1242">
        <v>18</v>
      </c>
      <c r="C18" s="1243">
        <v>6.25</v>
      </c>
      <c r="D18" s="1243">
        <v>28</v>
      </c>
      <c r="E18" s="1243">
        <v>11.25</v>
      </c>
      <c r="F18" s="1243">
        <v>13.5</v>
      </c>
      <c r="G18" s="1243">
        <v>15</v>
      </c>
      <c r="H18" s="1243">
        <v>8</v>
      </c>
      <c r="I18" s="1243">
        <v>33.25</v>
      </c>
      <c r="J18" s="1243">
        <v>19.75</v>
      </c>
      <c r="K18" s="1243">
        <v>17.5</v>
      </c>
      <c r="L18" s="1243">
        <v>36</v>
      </c>
      <c r="M18" s="1243">
        <v>91.5</v>
      </c>
      <c r="N18" s="1244">
        <v>30</v>
      </c>
      <c r="O18" s="211"/>
      <c r="P18" s="211"/>
      <c r="Q18" s="211"/>
      <c r="R18" s="211"/>
      <c r="S18" s="1243">
        <v>5.875</v>
      </c>
      <c r="T18" s="1243">
        <v>10.375</v>
      </c>
      <c r="U18" s="211">
        <v>36</v>
      </c>
      <c r="V18" s="1244"/>
      <c r="W18" s="2">
        <v>24.8125</v>
      </c>
      <c r="X18" s="1243">
        <v>4.875</v>
      </c>
      <c r="Y18" s="1243">
        <v>21.5</v>
      </c>
      <c r="Z18" s="1243">
        <v>39</v>
      </c>
      <c r="AA18" s="211"/>
      <c r="AB18" s="1249" t="s">
        <v>283</v>
      </c>
      <c r="AC18" s="1245">
        <v>24</v>
      </c>
      <c r="AD18" s="1246">
        <v>1.25</v>
      </c>
      <c r="AE18" s="1246">
        <v>7.75</v>
      </c>
    </row>
    <row r="19" spans="1:31" ht="15" customHeight="1" thickBot="1" x14ac:dyDescent="0.25">
      <c r="A19" s="1249" t="s">
        <v>284</v>
      </c>
      <c r="B19" s="1237">
        <v>20</v>
      </c>
      <c r="C19" s="1238">
        <v>6.375</v>
      </c>
      <c r="D19" s="1238">
        <v>30.5</v>
      </c>
      <c r="E19" s="1238">
        <v>12.5</v>
      </c>
      <c r="F19" s="1238">
        <v>15</v>
      </c>
      <c r="G19" s="1238">
        <v>20</v>
      </c>
      <c r="H19" s="1238">
        <v>9</v>
      </c>
      <c r="I19" s="1238">
        <v>36.375</v>
      </c>
      <c r="J19" s="1238">
        <v>21.375</v>
      </c>
      <c r="K19" s="1238">
        <v>18.875</v>
      </c>
      <c r="L19" s="1238">
        <v>39</v>
      </c>
      <c r="M19" s="1238">
        <v>99.75</v>
      </c>
      <c r="N19" s="1239">
        <v>36</v>
      </c>
      <c r="O19" s="216"/>
      <c r="P19" s="216"/>
      <c r="Q19" s="216"/>
      <c r="R19" s="216"/>
      <c r="S19" s="1238">
        <v>6.25</v>
      </c>
      <c r="T19" s="1238">
        <v>11.5</v>
      </c>
      <c r="U19" s="216">
        <v>39</v>
      </c>
      <c r="V19" s="1239">
        <v>39</v>
      </c>
      <c r="W19" s="1238">
        <v>16.5</v>
      </c>
      <c r="X19" s="1238">
        <v>4.875</v>
      </c>
      <c r="Y19" s="1238">
        <v>21.5</v>
      </c>
      <c r="Z19" s="1238">
        <v>39</v>
      </c>
      <c r="AA19" s="216"/>
      <c r="AB19" s="1249" t="s">
        <v>284</v>
      </c>
      <c r="AC19" s="1240">
        <v>24</v>
      </c>
      <c r="AD19" s="1241">
        <v>1.25</v>
      </c>
      <c r="AE19" s="1241">
        <v>8.25</v>
      </c>
    </row>
    <row r="20" spans="1:31" ht="15" customHeight="1" thickBot="1" x14ac:dyDescent="0.25">
      <c r="A20" s="1249" t="s">
        <v>285</v>
      </c>
      <c r="B20" s="1242">
        <v>24</v>
      </c>
      <c r="C20" s="1243">
        <v>6.625</v>
      </c>
      <c r="D20" s="1243">
        <v>36</v>
      </c>
      <c r="E20" s="1243">
        <v>15</v>
      </c>
      <c r="F20" s="1243">
        <v>17</v>
      </c>
      <c r="G20" s="1243">
        <v>20</v>
      </c>
      <c r="H20" s="1243">
        <v>10.5</v>
      </c>
      <c r="I20" s="1243">
        <v>42.625</v>
      </c>
      <c r="J20" s="1243">
        <v>23.625</v>
      </c>
      <c r="K20" s="1243">
        <v>21.625</v>
      </c>
      <c r="L20" s="1243">
        <v>45</v>
      </c>
      <c r="M20" s="1243">
        <v>120.5</v>
      </c>
      <c r="N20" s="1244">
        <v>36</v>
      </c>
      <c r="O20" s="211"/>
      <c r="P20" s="211"/>
      <c r="Q20" s="211"/>
      <c r="R20" s="211"/>
      <c r="S20" s="1243">
        <v>7</v>
      </c>
      <c r="T20" s="1243">
        <v>12.5</v>
      </c>
      <c r="U20" s="211">
        <v>45</v>
      </c>
      <c r="V20" s="211">
        <v>45</v>
      </c>
      <c r="W20" s="2">
        <v>29.3125</v>
      </c>
      <c r="X20" s="1243">
        <v>4.875</v>
      </c>
      <c r="Y20" s="1243">
        <v>21.5</v>
      </c>
      <c r="Z20" s="1243">
        <v>39</v>
      </c>
      <c r="AA20" s="211"/>
      <c r="AB20" s="1249" t="s">
        <v>285</v>
      </c>
      <c r="AC20" s="1245">
        <v>24</v>
      </c>
      <c r="AD20" s="1246">
        <v>1.5</v>
      </c>
      <c r="AE20" s="1246">
        <v>9.25</v>
      </c>
    </row>
    <row r="21" spans="1:31" ht="15" customHeight="1" thickBot="1" x14ac:dyDescent="0.25">
      <c r="A21" s="1249" t="s">
        <v>305</v>
      </c>
      <c r="B21" s="1237">
        <v>26</v>
      </c>
      <c r="C21" s="1238">
        <v>7.25</v>
      </c>
      <c r="D21" s="1238">
        <v>38.25</v>
      </c>
      <c r="E21" s="1238">
        <v>16</v>
      </c>
      <c r="F21" s="1238">
        <v>19.5</v>
      </c>
      <c r="G21" s="1238">
        <v>24</v>
      </c>
      <c r="H21" s="1238">
        <v>10.5</v>
      </c>
      <c r="I21" s="1238">
        <v>46.25</v>
      </c>
      <c r="J21" s="1238">
        <v>26.75</v>
      </c>
      <c r="K21" s="1238">
        <v>23.25</v>
      </c>
      <c r="L21" s="216"/>
      <c r="M21" s="216"/>
      <c r="N21" s="216"/>
      <c r="O21" s="216"/>
      <c r="P21" s="216"/>
      <c r="Q21" s="216"/>
      <c r="R21" s="216"/>
      <c r="S21" s="1238"/>
      <c r="T21" s="1238">
        <v>14</v>
      </c>
      <c r="U21" s="216">
        <v>49</v>
      </c>
      <c r="V21" s="216"/>
      <c r="W21" s="1238">
        <v>34.25</v>
      </c>
      <c r="X21" s="1238">
        <v>5.75</v>
      </c>
      <c r="Y21" s="1238">
        <v>31.375</v>
      </c>
      <c r="Z21" s="1238">
        <v>30.25</v>
      </c>
      <c r="AA21" s="216"/>
      <c r="AB21" s="1249" t="s">
        <v>305</v>
      </c>
      <c r="AC21" s="1240">
        <v>28</v>
      </c>
      <c r="AD21" s="1241">
        <v>1.625</v>
      </c>
      <c r="AE21" s="1241">
        <v>10.25</v>
      </c>
    </row>
    <row r="22" spans="1:31" ht="15" customHeight="1" thickBot="1" x14ac:dyDescent="0.25">
      <c r="A22" s="1249" t="s">
        <v>306</v>
      </c>
      <c r="B22" s="1242">
        <v>28</v>
      </c>
      <c r="C22" s="1243">
        <v>7.75</v>
      </c>
      <c r="D22" s="1243">
        <v>40.75</v>
      </c>
      <c r="E22" s="1243">
        <v>17.25</v>
      </c>
      <c r="F22" s="1243">
        <v>20.5</v>
      </c>
      <c r="G22" s="1243">
        <v>24</v>
      </c>
      <c r="H22" s="1243">
        <v>10.5</v>
      </c>
      <c r="I22" s="1243">
        <v>49.75</v>
      </c>
      <c r="J22" s="1243">
        <v>28.25</v>
      </c>
      <c r="K22" s="1243">
        <v>25</v>
      </c>
      <c r="L22" s="211"/>
      <c r="M22" s="211"/>
      <c r="N22" s="211"/>
      <c r="O22" s="211"/>
      <c r="P22" s="211"/>
      <c r="Q22" s="211"/>
      <c r="R22" s="211"/>
      <c r="S22" s="1243"/>
      <c r="T22" s="1243"/>
      <c r="U22" s="211">
        <v>53</v>
      </c>
      <c r="V22" s="211"/>
      <c r="W22" s="1243">
        <v>35.125</v>
      </c>
      <c r="X22" s="1243">
        <v>5.75</v>
      </c>
      <c r="Y22" s="1243">
        <v>31.375</v>
      </c>
      <c r="Z22" s="1243">
        <v>30.25</v>
      </c>
      <c r="AA22" s="211"/>
      <c r="AB22" s="1249" t="s">
        <v>306</v>
      </c>
      <c r="AC22" s="1245">
        <v>28</v>
      </c>
      <c r="AD22" s="1246">
        <v>1.625</v>
      </c>
      <c r="AE22" s="1246">
        <v>10.75</v>
      </c>
    </row>
    <row r="23" spans="1:31" ht="15" customHeight="1" thickBot="1" x14ac:dyDescent="0.25">
      <c r="A23" s="1249" t="s">
        <v>310</v>
      </c>
      <c r="B23" s="1237">
        <v>30</v>
      </c>
      <c r="C23" s="1238">
        <v>8.25</v>
      </c>
      <c r="D23" s="1238">
        <v>43</v>
      </c>
      <c r="E23" s="1238">
        <v>18.5</v>
      </c>
      <c r="F23" s="1238">
        <v>22</v>
      </c>
      <c r="G23" s="1238">
        <v>24</v>
      </c>
      <c r="H23" s="1238">
        <v>10.5</v>
      </c>
      <c r="I23" s="1238">
        <v>53.25</v>
      </c>
      <c r="J23" s="1238">
        <v>30.25</v>
      </c>
      <c r="K23" s="1238">
        <v>26.75</v>
      </c>
      <c r="L23" s="216"/>
      <c r="M23" s="216"/>
      <c r="N23" s="216"/>
      <c r="O23" s="216"/>
      <c r="P23" s="216"/>
      <c r="Q23" s="216"/>
      <c r="R23" s="216"/>
      <c r="S23" s="1238">
        <v>9.5</v>
      </c>
      <c r="T23" s="1238">
        <v>14.5</v>
      </c>
      <c r="U23" s="216">
        <v>55</v>
      </c>
      <c r="V23" s="216"/>
      <c r="W23" s="1238">
        <v>37.125</v>
      </c>
      <c r="X23" s="1238">
        <v>5.75</v>
      </c>
      <c r="Y23" s="1238">
        <v>31.375</v>
      </c>
      <c r="Z23" s="1238">
        <v>30.25</v>
      </c>
      <c r="AA23" s="216"/>
      <c r="AB23" s="1249" t="s">
        <v>310</v>
      </c>
      <c r="AC23" s="1240">
        <v>28</v>
      </c>
      <c r="AD23" s="1241">
        <v>1.75</v>
      </c>
      <c r="AE23" s="1241">
        <v>11.5</v>
      </c>
    </row>
    <row r="24" spans="1:31" ht="15" customHeight="1" thickBot="1" x14ac:dyDescent="0.25">
      <c r="A24" s="1249" t="s">
        <v>312</v>
      </c>
      <c r="B24" s="1242">
        <v>36</v>
      </c>
      <c r="C24" s="1243">
        <v>9.5</v>
      </c>
      <c r="D24" s="1243">
        <v>50</v>
      </c>
      <c r="E24" s="1243">
        <v>22.25</v>
      </c>
      <c r="F24" s="1243">
        <v>26.5</v>
      </c>
      <c r="G24" s="1243">
        <v>24</v>
      </c>
      <c r="H24" s="1243">
        <v>10.5</v>
      </c>
      <c r="I24" s="1243">
        <v>63.5</v>
      </c>
      <c r="J24" s="1243">
        <v>36</v>
      </c>
      <c r="K24" s="1243">
        <v>31.75</v>
      </c>
      <c r="L24" s="211"/>
      <c r="M24" s="211"/>
      <c r="N24" s="211"/>
      <c r="O24" s="211"/>
      <c r="P24" s="211"/>
      <c r="Q24" s="211"/>
      <c r="R24" s="211"/>
      <c r="S24" s="1243">
        <v>10.75</v>
      </c>
      <c r="T24" s="1243">
        <v>19</v>
      </c>
      <c r="U24" s="211">
        <v>68</v>
      </c>
      <c r="V24" s="211"/>
      <c r="W24" s="1243">
        <v>40.875</v>
      </c>
      <c r="X24" s="1243">
        <v>16</v>
      </c>
      <c r="Y24" s="1243">
        <v>37.25</v>
      </c>
      <c r="Z24" s="1243">
        <v>30.25</v>
      </c>
      <c r="AA24" s="211"/>
      <c r="AB24" s="1249" t="s">
        <v>312</v>
      </c>
      <c r="AC24" s="1245">
        <v>32</v>
      </c>
      <c r="AD24" s="1246">
        <v>2</v>
      </c>
      <c r="AE24" s="1246">
        <v>13</v>
      </c>
    </row>
    <row r="25" spans="1:31" ht="15" customHeight="1" thickBot="1" x14ac:dyDescent="0.25">
      <c r="A25" s="1249" t="s">
        <v>315</v>
      </c>
      <c r="B25" s="1237">
        <v>42</v>
      </c>
      <c r="C25" s="1238">
        <v>7.875</v>
      </c>
      <c r="D25" s="1238">
        <v>50.75</v>
      </c>
      <c r="E25" s="1238">
        <v>26</v>
      </c>
      <c r="F25" s="1238">
        <v>30</v>
      </c>
      <c r="G25" s="1238">
        <v>24</v>
      </c>
      <c r="H25" s="1238">
        <v>12</v>
      </c>
      <c r="I25" s="1238">
        <v>70.875</v>
      </c>
      <c r="J25" s="1238">
        <v>37.875</v>
      </c>
      <c r="K25" s="1238">
        <v>33.875</v>
      </c>
      <c r="L25" s="216"/>
      <c r="M25" s="216"/>
      <c r="N25" s="216"/>
      <c r="O25" s="216"/>
      <c r="P25" s="216"/>
      <c r="Q25" s="216"/>
      <c r="R25" s="216"/>
      <c r="S25" s="1238"/>
      <c r="T25" s="1238">
        <v>22.375</v>
      </c>
      <c r="U25" s="216"/>
      <c r="V25" s="216"/>
      <c r="W25" s="216"/>
      <c r="X25" s="216"/>
      <c r="Y25" s="216"/>
      <c r="Z25" s="216"/>
      <c r="AA25" s="216"/>
      <c r="AB25" s="1249" t="s">
        <v>315</v>
      </c>
      <c r="AC25" s="1240">
        <v>36</v>
      </c>
      <c r="AD25" s="1241">
        <v>2</v>
      </c>
      <c r="AE25" s="1241">
        <v>14</v>
      </c>
    </row>
    <row r="26" spans="1:31" ht="12.75" customHeight="1" x14ac:dyDescent="0.2">
      <c r="A26" t="s">
        <v>796</v>
      </c>
      <c r="E26" s="1341" t="s">
        <v>797</v>
      </c>
      <c r="F26" s="1342"/>
      <c r="G26" s="1343"/>
    </row>
    <row r="27" spans="1:31" ht="12.75" customHeight="1" x14ac:dyDescent="0.2">
      <c r="A27" t="s">
        <v>798</v>
      </c>
      <c r="E27" s="1344"/>
      <c r="F27" s="1345"/>
      <c r="G27" s="1346"/>
    </row>
    <row r="28" spans="1:31" ht="12.75" customHeight="1" x14ac:dyDescent="0.2">
      <c r="A28" s="1247" t="s">
        <v>799</v>
      </c>
      <c r="B28" s="1247"/>
      <c r="C28" s="1247"/>
      <c r="D28" s="1247"/>
      <c r="E28" s="1347"/>
      <c r="F28" s="1348"/>
      <c r="G28" s="1349"/>
    </row>
    <row r="29" spans="1:31" x14ac:dyDescent="0.2">
      <c r="A29" s="1247" t="s">
        <v>800</v>
      </c>
      <c r="B29" s="1247"/>
      <c r="C29" s="1247"/>
      <c r="D29" s="1247"/>
    </row>
  </sheetData>
  <mergeCells count="26">
    <mergeCell ref="O3:O4"/>
    <mergeCell ref="P3:R4"/>
    <mergeCell ref="S3:S4"/>
    <mergeCell ref="T3:T4"/>
    <mergeCell ref="E26:G26"/>
    <mergeCell ref="E27:G28"/>
    <mergeCell ref="I3:I4"/>
    <mergeCell ref="J3:J4"/>
    <mergeCell ref="G3:G4"/>
    <mergeCell ref="H3:H4"/>
    <mergeCell ref="A1:AE1"/>
    <mergeCell ref="A2:AB2"/>
    <mergeCell ref="A3:A4"/>
    <mergeCell ref="B3:B4"/>
    <mergeCell ref="C3:C4"/>
    <mergeCell ref="D3:D4"/>
    <mergeCell ref="E3:E4"/>
    <mergeCell ref="F3:F4"/>
    <mergeCell ref="AC3:AC5"/>
    <mergeCell ref="AD3:AE3"/>
    <mergeCell ref="AD4:AD5"/>
    <mergeCell ref="AE4:AE5"/>
    <mergeCell ref="K3:K4"/>
    <mergeCell ref="L3:N4"/>
    <mergeCell ref="U3:AA3"/>
    <mergeCell ref="AB3:AB4"/>
  </mergeCells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progId="AutoCAD-r13" shapeId="37889" r:id="rId3">
          <objectPr defaultSize="0" autoPict="0" r:id="rId4">
            <anchor moveWithCells="1">
              <from>
                <xdr:col>4</xdr:col>
                <xdr:colOff>295275</xdr:colOff>
                <xdr:row>1</xdr:row>
                <xdr:rowOff>28575</xdr:rowOff>
              </from>
              <to>
                <xdr:col>24</xdr:col>
                <xdr:colOff>171450</xdr:colOff>
                <xdr:row>1</xdr:row>
                <xdr:rowOff>2800350</xdr:rowOff>
              </to>
            </anchor>
          </objectPr>
        </oleObject>
      </mc:Choice>
      <mc:Fallback>
        <oleObject progId="AutoCAD-r13" shapeId="37889" r:id="rId3"/>
      </mc:Fallback>
    </mc:AlternateContent>
    <mc:AlternateContent xmlns:mc="http://schemas.openxmlformats.org/markup-compatibility/2006">
      <mc:Choice Requires="x14">
        <oleObject progId="AutoCAD-r13" shapeId="37890" r:id="rId5">
          <objectPr defaultSize="0" autoPict="0" r:id="rId6">
            <anchor moveWithCells="1">
              <from>
                <xdr:col>4</xdr:col>
                <xdr:colOff>219075</xdr:colOff>
                <xdr:row>1</xdr:row>
                <xdr:rowOff>28575</xdr:rowOff>
              </from>
              <to>
                <xdr:col>24</xdr:col>
                <xdr:colOff>95250</xdr:colOff>
                <xdr:row>1</xdr:row>
                <xdr:rowOff>2790825</xdr:rowOff>
              </to>
            </anchor>
          </objectPr>
        </oleObject>
      </mc:Choice>
      <mc:Fallback>
        <oleObject progId="AutoCAD-r13" shapeId="37890" r:id="rId5"/>
      </mc:Fallback>
    </mc:AlternateContent>
  </oleObjec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99"/>
  <sheetViews>
    <sheetView showGridLines="0" zoomScale="90" workbookViewId="0">
      <pane xSplit="17" ySplit="15" topLeftCell="R16" activePane="bottomRight" state="frozen"/>
      <selection pane="topRight" activeCell="R1" sqref="R1"/>
      <selection pane="bottomLeft" activeCell="A9" sqref="A9"/>
      <selection pane="bottomRight"/>
    </sheetView>
  </sheetViews>
  <sheetFormatPr defaultRowHeight="12.75" x14ac:dyDescent="0.2"/>
  <cols>
    <col min="1" max="1" width="3.140625" customWidth="1"/>
    <col min="2" max="2" width="13.5703125" customWidth="1"/>
    <col min="3" max="3" width="13.28515625" customWidth="1"/>
    <col min="4" max="4" width="4.7109375" customWidth="1"/>
    <col min="5" max="5" width="8.28515625" customWidth="1"/>
    <col min="6" max="6" width="7.7109375" customWidth="1"/>
    <col min="7" max="7" width="8" customWidth="1"/>
    <col min="8" max="8" width="7.7109375" customWidth="1"/>
    <col min="9" max="9" width="8.7109375" customWidth="1"/>
    <col min="10" max="10" width="8.5703125" customWidth="1"/>
    <col min="11" max="11" width="8.140625" customWidth="1"/>
    <col min="12" max="12" width="7.42578125" customWidth="1"/>
    <col min="13" max="14" width="8.140625" customWidth="1"/>
    <col min="15" max="15" width="7.28515625" customWidth="1"/>
    <col min="16" max="17" width="8" customWidth="1"/>
  </cols>
  <sheetData>
    <row r="1" spans="2:18" x14ac:dyDescent="0.2">
      <c r="B1" s="116">
        <f ca="1">NOW()</f>
        <v>42899.605034722219</v>
      </c>
    </row>
    <row r="2" spans="2:18" ht="25.5" x14ac:dyDescent="0.35">
      <c r="C2" s="202"/>
      <c r="D2" s="202"/>
      <c r="G2" s="266" t="s">
        <v>1774</v>
      </c>
    </row>
    <row r="4" spans="2:18" ht="18.75" x14ac:dyDescent="0.3">
      <c r="C4" s="273" t="s">
        <v>1754</v>
      </c>
    </row>
    <row r="5" spans="2:18" ht="15" x14ac:dyDescent="0.2">
      <c r="B5" s="274" t="s">
        <v>1775</v>
      </c>
      <c r="C5" s="272" t="s">
        <v>1776</v>
      </c>
    </row>
    <row r="6" spans="2:18" ht="15" x14ac:dyDescent="0.2">
      <c r="C6" s="272" t="s">
        <v>1777</v>
      </c>
      <c r="D6" s="17"/>
    </row>
    <row r="7" spans="2:18" ht="15" x14ac:dyDescent="0.2">
      <c r="C7" s="272" t="s">
        <v>1778</v>
      </c>
      <c r="D7" s="17"/>
    </row>
    <row r="8" spans="2:18" x14ac:dyDescent="0.2">
      <c r="C8" s="17"/>
      <c r="D8" s="17"/>
    </row>
    <row r="9" spans="2:18" ht="15.75" x14ac:dyDescent="0.25">
      <c r="B9" s="225" t="s">
        <v>1780</v>
      </c>
      <c r="C9" s="17" t="s">
        <v>1783</v>
      </c>
      <c r="D9" s="17"/>
    </row>
    <row r="10" spans="2:18" ht="15.75" x14ac:dyDescent="0.25">
      <c r="B10" s="225" t="s">
        <v>1781</v>
      </c>
      <c r="C10" s="17" t="s">
        <v>1784</v>
      </c>
      <c r="D10" s="17"/>
    </row>
    <row r="11" spans="2:18" ht="15.75" x14ac:dyDescent="0.25">
      <c r="B11" s="225" t="s">
        <v>1782</v>
      </c>
      <c r="C11" s="17" t="s">
        <v>1785</v>
      </c>
      <c r="D11" s="17"/>
    </row>
    <row r="12" spans="2:18" ht="13.5" thickBot="1" x14ac:dyDescent="0.25"/>
    <row r="13" spans="2:18" ht="18.75" x14ac:dyDescent="0.3">
      <c r="B13" s="203" t="s">
        <v>1742</v>
      </c>
      <c r="C13" s="203" t="s">
        <v>1749</v>
      </c>
      <c r="D13" s="236" t="s">
        <v>1768</v>
      </c>
      <c r="E13" s="125" t="s">
        <v>899</v>
      </c>
      <c r="F13" s="287" t="s">
        <v>899</v>
      </c>
      <c r="G13" s="287" t="s">
        <v>899</v>
      </c>
      <c r="H13" s="287" t="s">
        <v>899</v>
      </c>
      <c r="I13" s="287" t="s">
        <v>899</v>
      </c>
      <c r="J13" s="288" t="s">
        <v>1755</v>
      </c>
      <c r="K13" s="287" t="s">
        <v>899</v>
      </c>
      <c r="L13" s="287" t="s">
        <v>899</v>
      </c>
      <c r="M13" s="287" t="s">
        <v>899</v>
      </c>
      <c r="N13" s="287" t="s">
        <v>899</v>
      </c>
      <c r="O13" s="287" t="s">
        <v>899</v>
      </c>
      <c r="P13" s="287" t="s">
        <v>899</v>
      </c>
      <c r="Q13" s="289"/>
      <c r="R13" s="1"/>
    </row>
    <row r="14" spans="2:18" ht="19.5" thickBot="1" x14ac:dyDescent="0.35">
      <c r="B14" s="282"/>
      <c r="C14" s="299" t="s">
        <v>1786</v>
      </c>
      <c r="D14" s="283"/>
      <c r="E14" s="126"/>
      <c r="F14" s="284"/>
      <c r="G14" s="284"/>
      <c r="H14" s="284"/>
      <c r="I14" s="284"/>
      <c r="J14" s="285"/>
      <c r="K14" s="284"/>
      <c r="L14" s="284"/>
      <c r="M14" s="284"/>
      <c r="N14" s="284"/>
      <c r="O14" s="284"/>
      <c r="P14" s="284"/>
      <c r="Q14" s="286"/>
      <c r="R14" s="1"/>
    </row>
    <row r="15" spans="2:18" ht="13.5" thickBot="1" x14ac:dyDescent="0.25">
      <c r="B15" s="204" t="s">
        <v>894</v>
      </c>
      <c r="C15" s="204" t="s">
        <v>1798</v>
      </c>
      <c r="D15" s="237" t="s">
        <v>1769</v>
      </c>
      <c r="E15" s="212" t="s">
        <v>1743</v>
      </c>
      <c r="F15" s="214" t="s">
        <v>1744</v>
      </c>
      <c r="G15" s="214" t="s">
        <v>1745</v>
      </c>
      <c r="H15" s="214" t="s">
        <v>1770</v>
      </c>
      <c r="I15" s="214" t="s">
        <v>1746</v>
      </c>
      <c r="J15" s="214" t="s">
        <v>1747</v>
      </c>
      <c r="K15" s="214" t="s">
        <v>1748</v>
      </c>
      <c r="L15" s="214" t="s">
        <v>1750</v>
      </c>
      <c r="M15" s="214" t="s">
        <v>1771</v>
      </c>
      <c r="N15" s="214" t="s">
        <v>1772</v>
      </c>
      <c r="O15" s="214" t="s">
        <v>1751</v>
      </c>
      <c r="P15" s="214" t="s">
        <v>1752</v>
      </c>
      <c r="Q15" s="213" t="s">
        <v>1753</v>
      </c>
    </row>
    <row r="16" spans="2:18" x14ac:dyDescent="0.2">
      <c r="B16" s="207"/>
      <c r="C16" s="207"/>
      <c r="D16" s="229" t="s">
        <v>1768</v>
      </c>
      <c r="E16" s="209">
        <v>386</v>
      </c>
      <c r="F16" s="209">
        <v>247</v>
      </c>
      <c r="G16" s="209">
        <v>172</v>
      </c>
      <c r="H16" s="215">
        <v>126</v>
      </c>
      <c r="I16" s="218">
        <v>96</v>
      </c>
      <c r="J16" s="218">
        <v>76</v>
      </c>
      <c r="K16" s="215"/>
      <c r="L16" s="218"/>
      <c r="M16" s="218"/>
      <c r="N16" s="218"/>
      <c r="O16" s="218"/>
      <c r="P16" s="219"/>
      <c r="Q16" s="219" t="s">
        <v>1773</v>
      </c>
    </row>
    <row r="17" spans="2:17" ht="15.75" x14ac:dyDescent="0.25">
      <c r="B17" s="228" t="s">
        <v>1756</v>
      </c>
      <c r="C17" s="239">
        <v>4</v>
      </c>
      <c r="D17" s="230" t="s">
        <v>1769</v>
      </c>
      <c r="E17" s="210">
        <v>9.5000000000000001E-2</v>
      </c>
      <c r="F17" s="210">
        <v>0.151</v>
      </c>
      <c r="G17" s="210">
        <v>0.216</v>
      </c>
      <c r="H17" s="216">
        <v>0.29499999999999998</v>
      </c>
      <c r="I17" s="217">
        <v>0.374</v>
      </c>
      <c r="J17" s="217">
        <v>0.48599999999999999</v>
      </c>
      <c r="K17" s="216"/>
      <c r="L17" s="217"/>
      <c r="M17" s="217"/>
      <c r="N17" s="217"/>
      <c r="O17" s="217"/>
      <c r="P17" s="220"/>
      <c r="Q17" s="220"/>
    </row>
    <row r="18" spans="2:17" x14ac:dyDescent="0.2">
      <c r="B18" s="207"/>
      <c r="C18" s="300">
        <f>C17*10.76391042*0.4535924</f>
        <v>19.529711843171231</v>
      </c>
      <c r="D18" s="231" t="s">
        <v>1779</v>
      </c>
      <c r="E18" s="210">
        <v>386</v>
      </c>
      <c r="F18" s="210">
        <v>308</v>
      </c>
      <c r="G18" s="210">
        <v>258</v>
      </c>
      <c r="H18" s="216">
        <v>220</v>
      </c>
      <c r="I18" s="217">
        <v>194</v>
      </c>
      <c r="J18" s="217">
        <v>171</v>
      </c>
      <c r="K18" s="216"/>
      <c r="L18" s="217"/>
      <c r="M18" s="217"/>
      <c r="N18" s="217"/>
      <c r="O18" s="217"/>
      <c r="P18" s="220"/>
      <c r="Q18" s="220"/>
    </row>
    <row r="19" spans="2:17" ht="13.5" thickBot="1" x14ac:dyDescent="0.25">
      <c r="B19" s="269"/>
      <c r="C19" s="270"/>
      <c r="D19" s="244" t="s">
        <v>1769</v>
      </c>
      <c r="E19" s="245">
        <v>7.5999999999999998E-2</v>
      </c>
      <c r="F19" s="245">
        <v>0.11899999999999999</v>
      </c>
      <c r="G19" s="245">
        <v>0.17299999999999999</v>
      </c>
      <c r="H19" s="247">
        <v>0.23400000000000001</v>
      </c>
      <c r="I19" s="248">
        <v>0.308</v>
      </c>
      <c r="J19" s="248">
        <v>0.38900000000000001</v>
      </c>
      <c r="K19" s="247"/>
      <c r="L19" s="248"/>
      <c r="M19" s="248"/>
      <c r="N19" s="248"/>
      <c r="O19" s="248"/>
      <c r="P19" s="249"/>
      <c r="Q19" s="249"/>
    </row>
    <row r="20" spans="2:17" ht="13.5" thickTop="1" x14ac:dyDescent="0.2">
      <c r="B20" s="267"/>
      <c r="C20" s="222"/>
      <c r="D20" s="268" t="s">
        <v>1768</v>
      </c>
      <c r="E20" s="206">
        <v>578</v>
      </c>
      <c r="F20" s="206">
        <v>370</v>
      </c>
      <c r="G20" s="206">
        <v>258</v>
      </c>
      <c r="H20" s="223">
        <v>188</v>
      </c>
      <c r="I20" s="240">
        <v>144</v>
      </c>
      <c r="J20" s="240">
        <v>115</v>
      </c>
      <c r="K20" s="259"/>
      <c r="L20" s="240"/>
      <c r="M20" s="240"/>
      <c r="N20" s="240"/>
      <c r="O20" s="240"/>
      <c r="P20" s="241"/>
      <c r="Q20" s="241"/>
    </row>
    <row r="21" spans="2:17" ht="15.75" x14ac:dyDescent="0.25">
      <c r="B21" s="228" t="s">
        <v>1757</v>
      </c>
      <c r="C21" s="239">
        <v>5.6</v>
      </c>
      <c r="D21" s="230" t="s">
        <v>1769</v>
      </c>
      <c r="E21" s="210">
        <v>9.5000000000000001E-2</v>
      </c>
      <c r="F21" s="210">
        <v>0.151</v>
      </c>
      <c r="G21" s="210">
        <v>0.216</v>
      </c>
      <c r="H21" s="211">
        <v>0.29499999999999998</v>
      </c>
      <c r="I21" s="217">
        <v>0.374</v>
      </c>
      <c r="J21" s="217">
        <v>0.48599999999999999</v>
      </c>
      <c r="K21" s="216"/>
      <c r="L21" s="217"/>
      <c r="M21" s="217"/>
      <c r="N21" s="217"/>
      <c r="O21" s="217"/>
      <c r="P21" s="220"/>
      <c r="Q21" s="220"/>
    </row>
    <row r="22" spans="2:17" x14ac:dyDescent="0.2">
      <c r="B22" s="207"/>
      <c r="C22" s="300">
        <f>C21*10.76391042*0.4535924</f>
        <v>27.341596580439724</v>
      </c>
      <c r="D22" s="231" t="s">
        <v>1779</v>
      </c>
      <c r="E22" s="210">
        <v>578</v>
      </c>
      <c r="F22" s="210">
        <v>462</v>
      </c>
      <c r="G22" s="210">
        <v>386</v>
      </c>
      <c r="H22" s="211">
        <v>331</v>
      </c>
      <c r="I22" s="217">
        <v>289</v>
      </c>
      <c r="J22" s="217">
        <v>257</v>
      </c>
      <c r="K22" s="216"/>
      <c r="L22" s="217"/>
      <c r="M22" s="217"/>
      <c r="N22" s="217"/>
      <c r="O22" s="217"/>
      <c r="P22" s="220"/>
      <c r="Q22" s="220"/>
    </row>
    <row r="23" spans="2:17" ht="13.5" thickBot="1" x14ac:dyDescent="0.25">
      <c r="B23" s="242"/>
      <c r="C23" s="243"/>
      <c r="D23" s="244" t="s">
        <v>1769</v>
      </c>
      <c r="E23" s="245">
        <v>7.5999999999999998E-2</v>
      </c>
      <c r="F23" s="245">
        <v>0.11899999999999999</v>
      </c>
      <c r="G23" s="245">
        <v>0.17299999999999999</v>
      </c>
      <c r="H23" s="246">
        <v>0.23400000000000001</v>
      </c>
      <c r="I23" s="248">
        <v>0.38</v>
      </c>
      <c r="J23" s="248">
        <v>0.38900000000000001</v>
      </c>
      <c r="K23" s="247"/>
      <c r="L23" s="248"/>
      <c r="M23" s="248"/>
      <c r="N23" s="248"/>
      <c r="O23" s="248"/>
      <c r="P23" s="249"/>
      <c r="Q23" s="249"/>
    </row>
    <row r="24" spans="2:17" ht="13.5" thickTop="1" x14ac:dyDescent="0.2">
      <c r="B24" s="267"/>
      <c r="C24" s="271"/>
      <c r="D24" s="250" t="s">
        <v>1768</v>
      </c>
      <c r="E24" s="206">
        <v>686</v>
      </c>
      <c r="F24" s="206">
        <v>439</v>
      </c>
      <c r="G24" s="206">
        <v>304</v>
      </c>
      <c r="H24" s="223">
        <v>224</v>
      </c>
      <c r="I24" s="206">
        <v>171</v>
      </c>
      <c r="J24" s="240">
        <v>135</v>
      </c>
      <c r="K24" s="259">
        <v>109</v>
      </c>
      <c r="L24" s="240">
        <v>91</v>
      </c>
      <c r="M24" s="240">
        <v>76</v>
      </c>
      <c r="N24" s="240"/>
      <c r="O24" s="240"/>
      <c r="P24" s="241"/>
      <c r="Q24" s="241"/>
    </row>
    <row r="25" spans="2:17" ht="15.75" x14ac:dyDescent="0.25">
      <c r="B25" s="228" t="s">
        <v>1758</v>
      </c>
      <c r="C25" s="238">
        <v>5.0999999999999996</v>
      </c>
      <c r="D25" s="250" t="s">
        <v>1769</v>
      </c>
      <c r="E25" s="206">
        <v>7.1999999999999995E-2</v>
      </c>
      <c r="F25" s="206">
        <v>0.111</v>
      </c>
      <c r="G25" s="206">
        <v>0.159</v>
      </c>
      <c r="H25" s="223">
        <v>0.219</v>
      </c>
      <c r="I25" s="206">
        <v>0.28799999999999998</v>
      </c>
      <c r="J25" s="240">
        <v>0.36599999999999999</v>
      </c>
      <c r="K25" s="259">
        <v>0.45100000000000001</v>
      </c>
      <c r="L25" s="240">
        <v>0.54700000000000004</v>
      </c>
      <c r="M25" s="240">
        <v>0.67300000000000004</v>
      </c>
      <c r="N25" s="240"/>
      <c r="O25" s="240"/>
      <c r="P25" s="241"/>
      <c r="Q25" s="241"/>
    </row>
    <row r="26" spans="2:17" x14ac:dyDescent="0.2">
      <c r="B26" s="207"/>
      <c r="C26" s="300">
        <f>C25*10.76391042*0.4535924</f>
        <v>24.900382600043322</v>
      </c>
      <c r="D26" s="231" t="s">
        <v>1779</v>
      </c>
      <c r="E26" s="210">
        <v>686</v>
      </c>
      <c r="F26" s="210">
        <v>549</v>
      </c>
      <c r="G26" s="210">
        <v>457</v>
      </c>
      <c r="H26" s="211">
        <v>392</v>
      </c>
      <c r="I26" s="210">
        <v>343</v>
      </c>
      <c r="J26" s="217">
        <v>305</v>
      </c>
      <c r="K26" s="216">
        <v>275</v>
      </c>
      <c r="L26" s="217">
        <v>250</v>
      </c>
      <c r="M26" s="217">
        <v>228</v>
      </c>
      <c r="N26" s="217"/>
      <c r="O26" s="217"/>
      <c r="P26" s="220"/>
      <c r="Q26" s="220"/>
    </row>
    <row r="27" spans="2:17" ht="13.5" thickBot="1" x14ac:dyDescent="0.25">
      <c r="B27" s="242"/>
      <c r="C27" s="270"/>
      <c r="D27" s="244" t="s">
        <v>1769</v>
      </c>
      <c r="E27" s="245">
        <v>5.7000000000000002E-2</v>
      </c>
      <c r="F27" s="245">
        <v>0.09</v>
      </c>
      <c r="G27" s="245">
        <v>0.129</v>
      </c>
      <c r="H27" s="246">
        <v>0.17599999999999999</v>
      </c>
      <c r="I27" s="245">
        <v>0.23100000000000001</v>
      </c>
      <c r="J27" s="248">
        <v>0.29299999999999998</v>
      </c>
      <c r="K27" s="247">
        <v>0.36</v>
      </c>
      <c r="L27" s="248">
        <v>0.434</v>
      </c>
      <c r="M27" s="248">
        <v>0.51800000000000002</v>
      </c>
      <c r="N27" s="248"/>
      <c r="O27" s="248"/>
      <c r="P27" s="249"/>
      <c r="Q27" s="249"/>
    </row>
    <row r="28" spans="2:17" ht="13.5" thickTop="1" x14ac:dyDescent="0.2">
      <c r="B28" s="207"/>
      <c r="C28" s="208"/>
      <c r="D28" s="233" t="s">
        <v>1768</v>
      </c>
      <c r="E28" s="206">
        <v>1029</v>
      </c>
      <c r="F28" s="206">
        <v>659</v>
      </c>
      <c r="G28" s="206">
        <v>459</v>
      </c>
      <c r="H28" s="223">
        <v>338</v>
      </c>
      <c r="I28" s="206">
        <v>257</v>
      </c>
      <c r="J28" s="206">
        <v>203</v>
      </c>
      <c r="K28" s="259">
        <v>164</v>
      </c>
      <c r="L28" s="240">
        <v>135</v>
      </c>
      <c r="M28" s="240">
        <v>114</v>
      </c>
      <c r="N28" s="240"/>
      <c r="O28" s="240"/>
      <c r="P28" s="241"/>
      <c r="Q28" s="241"/>
    </row>
    <row r="29" spans="2:17" ht="15.75" x14ac:dyDescent="0.25">
      <c r="B29" s="228" t="s">
        <v>1759</v>
      </c>
      <c r="C29" s="238">
        <v>7.3</v>
      </c>
      <c r="D29" s="232" t="s">
        <v>1769</v>
      </c>
      <c r="E29" s="210">
        <v>7.1999999999999995E-2</v>
      </c>
      <c r="F29" s="210">
        <v>0.111</v>
      </c>
      <c r="G29" s="210">
        <v>0.159</v>
      </c>
      <c r="H29" s="211">
        <v>0.219</v>
      </c>
      <c r="I29" s="210">
        <v>0.28799999999999998</v>
      </c>
      <c r="J29" s="210">
        <v>0.36599999999999999</v>
      </c>
      <c r="K29" s="216">
        <v>0.45100000000000001</v>
      </c>
      <c r="L29" s="217">
        <v>0.54700000000000004</v>
      </c>
      <c r="M29" s="217">
        <v>0.67300000000000004</v>
      </c>
      <c r="N29" s="217"/>
      <c r="O29" s="217"/>
      <c r="P29" s="220"/>
      <c r="Q29" s="220"/>
    </row>
    <row r="30" spans="2:17" x14ac:dyDescent="0.2">
      <c r="B30" s="207"/>
      <c r="C30" s="300">
        <f>C29*10.76391042*0.4535924</f>
        <v>35.641724113787504</v>
      </c>
      <c r="D30" s="231" t="s">
        <v>1779</v>
      </c>
      <c r="E30" s="210">
        <v>1029</v>
      </c>
      <c r="F30" s="210">
        <v>824</v>
      </c>
      <c r="G30" s="210">
        <v>686</v>
      </c>
      <c r="H30" s="211">
        <v>587</v>
      </c>
      <c r="I30" s="210">
        <v>514</v>
      </c>
      <c r="J30" s="210">
        <v>458</v>
      </c>
      <c r="K30" s="216">
        <v>412</v>
      </c>
      <c r="L30" s="217">
        <v>375</v>
      </c>
      <c r="M30" s="217">
        <v>343</v>
      </c>
      <c r="N30" s="217"/>
      <c r="O30" s="217"/>
      <c r="P30" s="220"/>
      <c r="Q30" s="220"/>
    </row>
    <row r="31" spans="2:17" ht="13.5" thickBot="1" x14ac:dyDescent="0.25">
      <c r="B31" s="242"/>
      <c r="C31" s="243"/>
      <c r="D31" s="244" t="s">
        <v>1769</v>
      </c>
      <c r="E31" s="245">
        <v>5.7000000000000002E-2</v>
      </c>
      <c r="F31" s="245">
        <v>0.09</v>
      </c>
      <c r="G31" s="245">
        <v>0.129</v>
      </c>
      <c r="H31" s="246">
        <v>0.17599999999999999</v>
      </c>
      <c r="I31" s="245">
        <v>0.23100000000000001</v>
      </c>
      <c r="J31" s="245">
        <v>0.29299999999999998</v>
      </c>
      <c r="K31" s="247">
        <v>0.36</v>
      </c>
      <c r="L31" s="248">
        <v>0.434</v>
      </c>
      <c r="M31" s="248">
        <v>0.51800000000000002</v>
      </c>
      <c r="N31" s="248"/>
      <c r="O31" s="248"/>
      <c r="P31" s="249"/>
      <c r="Q31" s="249"/>
    </row>
    <row r="32" spans="2:17" ht="13.5" thickTop="1" x14ac:dyDescent="0.2">
      <c r="B32" s="251"/>
      <c r="C32" s="252"/>
      <c r="D32" s="253" t="s">
        <v>1768</v>
      </c>
      <c r="E32" s="254">
        <v>1072</v>
      </c>
      <c r="F32" s="254">
        <v>686</v>
      </c>
      <c r="G32" s="254">
        <v>476</v>
      </c>
      <c r="H32" s="255">
        <v>350</v>
      </c>
      <c r="I32" s="254">
        <v>268</v>
      </c>
      <c r="J32" s="254">
        <v>212</v>
      </c>
      <c r="K32" s="255">
        <v>172</v>
      </c>
      <c r="L32" s="256">
        <v>142</v>
      </c>
      <c r="M32" s="256">
        <v>119</v>
      </c>
      <c r="N32" s="256">
        <v>101</v>
      </c>
      <c r="O32" s="256">
        <v>87</v>
      </c>
      <c r="P32" s="257"/>
      <c r="Q32" s="257"/>
    </row>
    <row r="33" spans="2:17" ht="15.75" x14ac:dyDescent="0.25">
      <c r="B33" s="228" t="s">
        <v>1760</v>
      </c>
      <c r="C33" s="238">
        <v>6.1</v>
      </c>
      <c r="D33" s="231" t="s">
        <v>1769</v>
      </c>
      <c r="E33" s="211">
        <v>5.7000000000000002E-2</v>
      </c>
      <c r="F33" s="210">
        <v>0.09</v>
      </c>
      <c r="G33" s="210">
        <v>0.129</v>
      </c>
      <c r="H33" s="211">
        <v>0.17599999999999999</v>
      </c>
      <c r="I33" s="210">
        <v>0.23100000000000001</v>
      </c>
      <c r="J33" s="210">
        <v>0.29099999999999998</v>
      </c>
      <c r="K33" s="211">
        <v>0.35799999999999998</v>
      </c>
      <c r="L33" s="217">
        <v>0.433</v>
      </c>
      <c r="M33" s="221">
        <v>0.52</v>
      </c>
      <c r="N33" s="217">
        <v>0.60799999999999998</v>
      </c>
      <c r="O33" s="217">
        <v>0.70399999999999996</v>
      </c>
      <c r="P33" s="220"/>
      <c r="Q33" s="220"/>
    </row>
    <row r="34" spans="2:17" x14ac:dyDescent="0.2">
      <c r="B34" s="207"/>
      <c r="C34" s="300">
        <f>C33*10.76391042*0.4535924</f>
        <v>29.782810560836126</v>
      </c>
      <c r="D34" s="231" t="s">
        <v>1779</v>
      </c>
      <c r="E34" s="211">
        <v>1072</v>
      </c>
      <c r="F34" s="210">
        <v>858</v>
      </c>
      <c r="G34" s="210">
        <v>716</v>
      </c>
      <c r="H34" s="211">
        <v>613</v>
      </c>
      <c r="I34" s="210">
        <v>536</v>
      </c>
      <c r="J34" s="210">
        <v>477</v>
      </c>
      <c r="K34" s="211">
        <v>430</v>
      </c>
      <c r="L34" s="217">
        <v>390</v>
      </c>
      <c r="M34" s="224">
        <v>358</v>
      </c>
      <c r="N34" s="217">
        <v>330</v>
      </c>
      <c r="O34" s="217">
        <v>306</v>
      </c>
      <c r="P34" s="220"/>
      <c r="Q34" s="220"/>
    </row>
    <row r="35" spans="2:17" ht="13.5" thickBot="1" x14ac:dyDescent="0.25">
      <c r="B35" s="242"/>
      <c r="C35" s="243"/>
      <c r="D35" s="244" t="s">
        <v>1769</v>
      </c>
      <c r="E35" s="246">
        <v>4.5999999999999999E-2</v>
      </c>
      <c r="F35" s="245">
        <v>7.1999999999999995E-2</v>
      </c>
      <c r="G35" s="245">
        <v>0.104</v>
      </c>
      <c r="H35" s="246">
        <v>0.14099999999999999</v>
      </c>
      <c r="I35" s="245">
        <v>0.183</v>
      </c>
      <c r="J35" s="245">
        <v>0.23300000000000001</v>
      </c>
      <c r="K35" s="246">
        <v>0.28799999999999998</v>
      </c>
      <c r="L35" s="248">
        <v>0.34899999999999998</v>
      </c>
      <c r="M35" s="258">
        <v>0.41599999999999998</v>
      </c>
      <c r="N35" s="248">
        <v>0.48699999999999999</v>
      </c>
      <c r="O35" s="248">
        <v>0.56499999999999995</v>
      </c>
      <c r="P35" s="249"/>
      <c r="Q35" s="249"/>
    </row>
    <row r="36" spans="2:17" ht="13.5" thickTop="1" x14ac:dyDescent="0.2">
      <c r="B36" s="251"/>
      <c r="C36" s="260"/>
      <c r="D36" s="253" t="s">
        <v>1768</v>
      </c>
      <c r="E36" s="255">
        <v>1608</v>
      </c>
      <c r="F36" s="254">
        <v>1028</v>
      </c>
      <c r="G36" s="254">
        <v>716</v>
      </c>
      <c r="H36" s="255">
        <v>526</v>
      </c>
      <c r="I36" s="254">
        <v>403</v>
      </c>
      <c r="J36" s="254">
        <v>318</v>
      </c>
      <c r="K36" s="255">
        <v>258</v>
      </c>
      <c r="L36" s="254">
        <v>213</v>
      </c>
      <c r="M36" s="256">
        <v>179</v>
      </c>
      <c r="N36" s="256">
        <v>152</v>
      </c>
      <c r="O36" s="256">
        <v>131</v>
      </c>
      <c r="P36" s="257"/>
      <c r="Q36" s="257"/>
    </row>
    <row r="37" spans="2:17" ht="15.75" x14ac:dyDescent="0.25">
      <c r="B37" s="228" t="s">
        <v>1761</v>
      </c>
      <c r="C37" s="238">
        <v>8.9</v>
      </c>
      <c r="D37" s="232" t="s">
        <v>1769</v>
      </c>
      <c r="E37" s="211">
        <v>5.7000000000000002E-2</v>
      </c>
      <c r="F37" s="210">
        <v>0.09</v>
      </c>
      <c r="G37" s="210">
        <v>0.129</v>
      </c>
      <c r="H37" s="211">
        <v>0.17599999999999999</v>
      </c>
      <c r="I37" s="210">
        <v>0.23100000000000001</v>
      </c>
      <c r="J37" s="210">
        <v>0.29099999999999998</v>
      </c>
      <c r="K37" s="211">
        <v>0.35799999999999998</v>
      </c>
      <c r="L37" s="210">
        <v>0.433</v>
      </c>
      <c r="M37" s="221">
        <v>0.52</v>
      </c>
      <c r="N37" s="217">
        <v>0.60799999999999998</v>
      </c>
      <c r="O37" s="217">
        <v>0.70399999999999996</v>
      </c>
      <c r="P37" s="220"/>
      <c r="Q37" s="220"/>
    </row>
    <row r="38" spans="2:17" x14ac:dyDescent="0.2">
      <c r="B38" s="207"/>
      <c r="C38" s="300">
        <f>C37*10.76391042*0.4535924</f>
        <v>43.453608851055996</v>
      </c>
      <c r="D38" s="231" t="s">
        <v>1779</v>
      </c>
      <c r="E38" s="211">
        <v>1608</v>
      </c>
      <c r="F38" s="210">
        <v>1285</v>
      </c>
      <c r="G38" s="210">
        <v>1073</v>
      </c>
      <c r="H38" s="211">
        <v>918</v>
      </c>
      <c r="I38" s="210">
        <v>803</v>
      </c>
      <c r="J38" s="210">
        <v>716</v>
      </c>
      <c r="K38" s="211">
        <v>644</v>
      </c>
      <c r="L38" s="210">
        <v>585</v>
      </c>
      <c r="M38" s="217">
        <v>536</v>
      </c>
      <c r="N38" s="217">
        <v>495</v>
      </c>
      <c r="O38" s="217">
        <v>459</v>
      </c>
      <c r="P38" s="220"/>
      <c r="Q38" s="220"/>
    </row>
    <row r="39" spans="2:17" ht="13.5" thickBot="1" x14ac:dyDescent="0.25">
      <c r="B39" s="242"/>
      <c r="C39" s="243"/>
      <c r="D39" s="244" t="s">
        <v>1769</v>
      </c>
      <c r="E39" s="246">
        <v>4.5999999999999999E-2</v>
      </c>
      <c r="F39" s="245">
        <v>7.1999999999999995E-2</v>
      </c>
      <c r="G39" s="245">
        <v>0.104</v>
      </c>
      <c r="H39" s="246">
        <v>0.14099999999999999</v>
      </c>
      <c r="I39" s="245">
        <v>0.183</v>
      </c>
      <c r="J39" s="245">
        <v>0.23300000000000001</v>
      </c>
      <c r="K39" s="246">
        <v>0.28799999999999998</v>
      </c>
      <c r="L39" s="245">
        <v>0.34899999999999998</v>
      </c>
      <c r="M39" s="248">
        <v>0.41599999999999998</v>
      </c>
      <c r="N39" s="248">
        <v>0.48699999999999999</v>
      </c>
      <c r="O39" s="248">
        <v>0.56499999999999995</v>
      </c>
      <c r="P39" s="249"/>
      <c r="Q39" s="249"/>
    </row>
    <row r="40" spans="2:17" ht="13.5" thickTop="1" x14ac:dyDescent="0.2">
      <c r="B40" s="207"/>
      <c r="C40" s="208"/>
      <c r="D40" s="233" t="s">
        <v>1768</v>
      </c>
      <c r="E40" s="223">
        <v>1544</v>
      </c>
      <c r="F40" s="206">
        <v>0.98699999999999999</v>
      </c>
      <c r="G40" s="206">
        <v>686</v>
      </c>
      <c r="H40" s="223">
        <v>505</v>
      </c>
      <c r="I40" s="206">
        <v>387</v>
      </c>
      <c r="J40" s="206">
        <v>306</v>
      </c>
      <c r="K40" s="223">
        <v>248</v>
      </c>
      <c r="L40" s="206">
        <v>205</v>
      </c>
      <c r="M40" s="206">
        <v>172</v>
      </c>
      <c r="N40" s="240">
        <v>149</v>
      </c>
      <c r="O40" s="240">
        <v>128</v>
      </c>
      <c r="P40" s="259">
        <v>96</v>
      </c>
      <c r="Q40" s="259">
        <v>75</v>
      </c>
    </row>
    <row r="41" spans="2:17" ht="15.75" x14ac:dyDescent="0.25">
      <c r="B41" s="228" t="s">
        <v>1762</v>
      </c>
      <c r="C41" s="238">
        <v>7.3</v>
      </c>
      <c r="D41" s="230" t="s">
        <v>1769</v>
      </c>
      <c r="E41" s="211">
        <v>4.7E-2</v>
      </c>
      <c r="F41" s="210">
        <v>7.4999999999999997E-2</v>
      </c>
      <c r="G41" s="210">
        <v>0.106</v>
      </c>
      <c r="H41" s="211">
        <v>0.14699999999999999</v>
      </c>
      <c r="I41" s="210">
        <v>0.192</v>
      </c>
      <c r="J41" s="210">
        <v>0.24299999999999999</v>
      </c>
      <c r="K41" s="226">
        <v>0.3</v>
      </c>
      <c r="L41" s="210">
        <v>0.36499999999999999</v>
      </c>
      <c r="M41" s="210">
        <v>0.433</v>
      </c>
      <c r="N41" s="217">
        <v>0.50600000000000001</v>
      </c>
      <c r="O41" s="217">
        <v>0.58699999999999997</v>
      </c>
      <c r="P41" s="216">
        <v>774</v>
      </c>
      <c r="Q41" s="216">
        <v>0.97799999999999998</v>
      </c>
    </row>
    <row r="42" spans="2:17" x14ac:dyDescent="0.2">
      <c r="B42" s="207"/>
      <c r="C42" s="300">
        <f>C41*10.76391042*0.4535924</f>
        <v>35.641724113787504</v>
      </c>
      <c r="D42" s="231" t="s">
        <v>1779</v>
      </c>
      <c r="E42" s="211">
        <v>1544</v>
      </c>
      <c r="F42" s="210">
        <v>1235</v>
      </c>
      <c r="G42" s="210">
        <v>1029</v>
      </c>
      <c r="H42" s="211">
        <v>883</v>
      </c>
      <c r="I42" s="210">
        <v>772</v>
      </c>
      <c r="J42" s="210">
        <v>687</v>
      </c>
      <c r="K42" s="211">
        <v>619</v>
      </c>
      <c r="L42" s="210">
        <v>563</v>
      </c>
      <c r="M42" s="210">
        <v>515</v>
      </c>
      <c r="N42" s="217">
        <v>475</v>
      </c>
      <c r="O42" s="217">
        <v>441</v>
      </c>
      <c r="P42" s="216">
        <v>386</v>
      </c>
      <c r="Q42" s="216">
        <v>342</v>
      </c>
    </row>
    <row r="43" spans="2:17" ht="13.5" thickBot="1" x14ac:dyDescent="0.25">
      <c r="B43" s="242"/>
      <c r="C43" s="243"/>
      <c r="D43" s="244" t="s">
        <v>1769</v>
      </c>
      <c r="E43" s="246">
        <v>3.7999999999999999E-2</v>
      </c>
      <c r="F43" s="245">
        <v>5.8999999999999997E-2</v>
      </c>
      <c r="G43" s="245">
        <v>8.6999999999999994E-2</v>
      </c>
      <c r="H43" s="246">
        <v>0.11700000000000001</v>
      </c>
      <c r="I43" s="245">
        <v>0.154</v>
      </c>
      <c r="J43" s="245">
        <v>0.19500000000000001</v>
      </c>
      <c r="K43" s="246">
        <v>0.24099999999999999</v>
      </c>
      <c r="L43" s="245">
        <v>0.28899999999999998</v>
      </c>
      <c r="M43" s="245">
        <v>0.34699999999999998</v>
      </c>
      <c r="N43" s="248">
        <v>0.40600000000000003</v>
      </c>
      <c r="O43" s="258">
        <v>0.47</v>
      </c>
      <c r="P43" s="247">
        <v>614</v>
      </c>
      <c r="Q43" s="247">
        <v>0.77700000000000002</v>
      </c>
    </row>
    <row r="44" spans="2:17" ht="13.5" thickTop="1" x14ac:dyDescent="0.2">
      <c r="B44" s="251"/>
      <c r="C44" s="260"/>
      <c r="D44" s="253" t="s">
        <v>1768</v>
      </c>
      <c r="E44" s="255">
        <v>2321</v>
      </c>
      <c r="F44" s="254">
        <v>1485</v>
      </c>
      <c r="G44" s="254">
        <v>1031</v>
      </c>
      <c r="H44" s="255">
        <v>758</v>
      </c>
      <c r="I44" s="254">
        <v>581</v>
      </c>
      <c r="J44" s="254">
        <v>458</v>
      </c>
      <c r="K44" s="255">
        <v>371</v>
      </c>
      <c r="L44" s="254">
        <v>307</v>
      </c>
      <c r="M44" s="254">
        <v>260</v>
      </c>
      <c r="N44" s="254">
        <v>222</v>
      </c>
      <c r="O44" s="256">
        <v>191</v>
      </c>
      <c r="P44" s="261">
        <v>145</v>
      </c>
      <c r="Q44" s="261">
        <v>115</v>
      </c>
    </row>
    <row r="45" spans="2:17" ht="15.75" x14ac:dyDescent="0.25">
      <c r="B45" s="228" t="s">
        <v>1763</v>
      </c>
      <c r="C45" s="238">
        <v>10.6</v>
      </c>
      <c r="D45" s="232" t="s">
        <v>1769</v>
      </c>
      <c r="E45" s="211">
        <v>4.7E-2</v>
      </c>
      <c r="F45" s="210">
        <v>7.4999999999999997E-2</v>
      </c>
      <c r="G45" s="210">
        <v>0.106</v>
      </c>
      <c r="H45" s="211">
        <v>0.14699999999999999</v>
      </c>
      <c r="I45" s="210">
        <v>0.192</v>
      </c>
      <c r="J45" s="210">
        <v>0.24299999999999999</v>
      </c>
      <c r="K45" s="226">
        <v>0.3</v>
      </c>
      <c r="L45" s="210">
        <v>0.36499999999999999</v>
      </c>
      <c r="M45" s="210">
        <v>0.433</v>
      </c>
      <c r="N45" s="210">
        <v>0.50600000000000001</v>
      </c>
      <c r="O45" s="217">
        <v>0.58699999999999997</v>
      </c>
      <c r="P45" s="216">
        <v>0.77400000000000002</v>
      </c>
      <c r="Q45" s="216">
        <v>0.97799999999999998</v>
      </c>
    </row>
    <row r="46" spans="2:17" x14ac:dyDescent="0.2">
      <c r="B46" s="207"/>
      <c r="C46" s="300">
        <f>C45*10.76391042*0.4535924</f>
        <v>51.753736384403766</v>
      </c>
      <c r="D46" s="231" t="s">
        <v>1779</v>
      </c>
      <c r="E46" s="211">
        <v>2321</v>
      </c>
      <c r="F46" s="210">
        <v>1856</v>
      </c>
      <c r="G46" s="210">
        <v>1547</v>
      </c>
      <c r="H46" s="211">
        <v>1325</v>
      </c>
      <c r="I46" s="210">
        <v>1159</v>
      </c>
      <c r="J46" s="210">
        <v>1031</v>
      </c>
      <c r="K46" s="211">
        <v>928</v>
      </c>
      <c r="L46" s="210">
        <v>844</v>
      </c>
      <c r="M46" s="210">
        <v>773</v>
      </c>
      <c r="N46" s="210">
        <v>714</v>
      </c>
      <c r="O46" s="217">
        <v>663</v>
      </c>
      <c r="P46" s="216">
        <v>581</v>
      </c>
      <c r="Q46" s="216">
        <v>515</v>
      </c>
    </row>
    <row r="47" spans="2:17" ht="13.5" thickBot="1" x14ac:dyDescent="0.25">
      <c r="B47" s="242"/>
      <c r="C47" s="243"/>
      <c r="D47" s="244" t="s">
        <v>1769</v>
      </c>
      <c r="E47" s="246">
        <v>3.7999999999999999E-2</v>
      </c>
      <c r="F47" s="245">
        <v>5.8999999999999997E-2</v>
      </c>
      <c r="G47" s="245">
        <v>8.6999999999999994E-2</v>
      </c>
      <c r="H47" s="246">
        <v>0.11700000000000001</v>
      </c>
      <c r="I47" s="245">
        <v>0.154</v>
      </c>
      <c r="J47" s="245">
        <v>0.19500000000000001</v>
      </c>
      <c r="K47" s="246">
        <v>0.24099999999999999</v>
      </c>
      <c r="L47" s="245">
        <v>0.28899999999999998</v>
      </c>
      <c r="M47" s="245">
        <v>0.34699999999999998</v>
      </c>
      <c r="N47" s="245">
        <v>0.40600000000000003</v>
      </c>
      <c r="O47" s="258">
        <v>0.47</v>
      </c>
      <c r="P47" s="247">
        <v>614</v>
      </c>
      <c r="Q47" s="247">
        <v>0.77700000000000002</v>
      </c>
    </row>
    <row r="48" spans="2:17" ht="13.5" thickTop="1" x14ac:dyDescent="0.2">
      <c r="B48" s="251"/>
      <c r="C48" s="260"/>
      <c r="D48" s="253" t="s">
        <v>1768</v>
      </c>
      <c r="E48" s="255">
        <v>3151</v>
      </c>
      <c r="F48" s="254">
        <v>2016</v>
      </c>
      <c r="G48" s="254">
        <v>1401</v>
      </c>
      <c r="H48" s="255">
        <v>1029</v>
      </c>
      <c r="I48" s="254">
        <v>788</v>
      </c>
      <c r="J48" s="254">
        <v>622</v>
      </c>
      <c r="K48" s="255">
        <v>505</v>
      </c>
      <c r="L48" s="254">
        <v>416</v>
      </c>
      <c r="M48" s="254">
        <v>351</v>
      </c>
      <c r="N48" s="254">
        <v>299</v>
      </c>
      <c r="O48" s="254">
        <v>259</v>
      </c>
      <c r="P48" s="261">
        <v>197</v>
      </c>
      <c r="Q48" s="261">
        <v>155</v>
      </c>
    </row>
    <row r="49" spans="2:17" ht="15.75" x14ac:dyDescent="0.25">
      <c r="B49" s="228" t="s">
        <v>1764</v>
      </c>
      <c r="C49" s="238">
        <v>12.2</v>
      </c>
      <c r="D49" s="232" t="s">
        <v>1769</v>
      </c>
      <c r="E49" s="211">
        <v>4.2000000000000003E-2</v>
      </c>
      <c r="F49" s="210">
        <v>6.4000000000000001E-2</v>
      </c>
      <c r="G49" s="210">
        <v>9.1999999999999998E-2</v>
      </c>
      <c r="H49" s="211">
        <v>0.126</v>
      </c>
      <c r="I49" s="210">
        <v>0.16500000000000001</v>
      </c>
      <c r="J49" s="210">
        <v>0.20799999999999999</v>
      </c>
      <c r="K49" s="211">
        <v>0.25800000000000001</v>
      </c>
      <c r="L49" s="227">
        <v>0.31</v>
      </c>
      <c r="M49" s="210">
        <v>0.371</v>
      </c>
      <c r="N49" s="210">
        <v>0.435</v>
      </c>
      <c r="O49" s="210">
        <v>0.50600000000000001</v>
      </c>
      <c r="P49" s="216">
        <v>0.66400000000000003</v>
      </c>
      <c r="Q49" s="216">
        <v>0.83799999999999997</v>
      </c>
    </row>
    <row r="50" spans="2:17" x14ac:dyDescent="0.2">
      <c r="B50" s="207"/>
      <c r="C50" s="300">
        <f>C49*10.76391042*0.4535924</f>
        <v>59.565621121672251</v>
      </c>
      <c r="D50" s="231" t="s">
        <v>1779</v>
      </c>
      <c r="E50" s="211">
        <v>3151</v>
      </c>
      <c r="F50" s="210">
        <v>2521</v>
      </c>
      <c r="G50" s="210">
        <v>2100</v>
      </c>
      <c r="H50" s="211">
        <v>1800</v>
      </c>
      <c r="I50" s="210">
        <v>1575</v>
      </c>
      <c r="J50" s="210">
        <v>1400</v>
      </c>
      <c r="K50" s="211">
        <v>1260</v>
      </c>
      <c r="L50" s="210">
        <v>1145</v>
      </c>
      <c r="M50" s="210">
        <v>1049</v>
      </c>
      <c r="N50" s="210">
        <v>969</v>
      </c>
      <c r="O50" s="210">
        <v>899</v>
      </c>
      <c r="P50" s="216">
        <v>786</v>
      </c>
      <c r="Q50" s="216">
        <v>700</v>
      </c>
    </row>
    <row r="51" spans="2:17" ht="13.5" thickBot="1" x14ac:dyDescent="0.25">
      <c r="B51" s="242"/>
      <c r="C51" s="243"/>
      <c r="D51" s="244" t="s">
        <v>1769</v>
      </c>
      <c r="E51" s="246">
        <v>3.3000000000000002E-2</v>
      </c>
      <c r="F51" s="245">
        <v>5.1999999999999998E-2</v>
      </c>
      <c r="G51" s="245">
        <v>7.3999999999999996E-2</v>
      </c>
      <c r="H51" s="246">
        <v>0.10100000000000001</v>
      </c>
      <c r="I51" s="245">
        <v>0.13200000000000001</v>
      </c>
      <c r="J51" s="245">
        <v>0.16700000000000001</v>
      </c>
      <c r="K51" s="246">
        <v>0.20599999999999999</v>
      </c>
      <c r="L51" s="245">
        <v>0.249</v>
      </c>
      <c r="M51" s="245">
        <v>0.29699999999999999</v>
      </c>
      <c r="N51" s="245">
        <v>0.34699999999999998</v>
      </c>
      <c r="O51" s="245">
        <v>0.40300000000000002</v>
      </c>
      <c r="P51" s="247">
        <v>0.52700000000000002</v>
      </c>
      <c r="Q51" s="247">
        <v>0.66700000000000004</v>
      </c>
    </row>
    <row r="52" spans="2:17" ht="13.5" thickTop="1" x14ac:dyDescent="0.2">
      <c r="B52" s="251"/>
      <c r="C52" s="260"/>
      <c r="D52" s="253" t="s">
        <v>1768</v>
      </c>
      <c r="E52" s="255">
        <v>4116</v>
      </c>
      <c r="F52" s="254">
        <v>2633</v>
      </c>
      <c r="G52" s="254">
        <v>1829</v>
      </c>
      <c r="H52" s="255">
        <v>1344</v>
      </c>
      <c r="I52" s="254">
        <v>1029</v>
      </c>
      <c r="J52" s="254">
        <v>813</v>
      </c>
      <c r="K52" s="255">
        <v>659</v>
      </c>
      <c r="L52" s="254">
        <v>546</v>
      </c>
      <c r="M52" s="254">
        <v>460</v>
      </c>
      <c r="N52" s="254">
        <v>393</v>
      </c>
      <c r="O52" s="254">
        <v>339</v>
      </c>
      <c r="P52" s="255">
        <v>258</v>
      </c>
      <c r="Q52" s="261">
        <v>204</v>
      </c>
    </row>
    <row r="53" spans="2:17" ht="15.75" x14ac:dyDescent="0.25">
      <c r="B53" s="228" t="s">
        <v>1765</v>
      </c>
      <c r="C53" s="238">
        <v>13.9</v>
      </c>
      <c r="D53" s="232" t="s">
        <v>1769</v>
      </c>
      <c r="E53" s="211">
        <v>3.5999999999999997E-2</v>
      </c>
      <c r="F53" s="210">
        <v>5.6000000000000001E-2</v>
      </c>
      <c r="G53" s="210">
        <v>8.1000000000000003E-2</v>
      </c>
      <c r="H53" s="211">
        <v>0.111</v>
      </c>
      <c r="I53" s="210">
        <v>0.14399999999999999</v>
      </c>
      <c r="J53" s="210">
        <v>0.183</v>
      </c>
      <c r="K53" s="211">
        <v>0.22600000000000001</v>
      </c>
      <c r="L53" s="210">
        <v>0.27300000000000002</v>
      </c>
      <c r="M53" s="210">
        <v>0.32500000000000001</v>
      </c>
      <c r="N53" s="210">
        <v>0.38400000000000001</v>
      </c>
      <c r="O53" s="210">
        <v>0.44700000000000001</v>
      </c>
      <c r="P53" s="226">
        <v>0.57999999999999996</v>
      </c>
      <c r="Q53" s="216">
        <v>0.73199999999999998</v>
      </c>
    </row>
    <row r="54" spans="2:17" x14ac:dyDescent="0.2">
      <c r="B54" s="207"/>
      <c r="C54" s="300">
        <f>C53*10.76391042*0.4535924</f>
        <v>67.865748655020042</v>
      </c>
      <c r="D54" s="231" t="s">
        <v>1779</v>
      </c>
      <c r="E54" s="211">
        <v>4116</v>
      </c>
      <c r="F54" s="210">
        <v>3292</v>
      </c>
      <c r="G54" s="210">
        <v>2745</v>
      </c>
      <c r="H54" s="211">
        <v>2351</v>
      </c>
      <c r="I54" s="210">
        <v>2058</v>
      </c>
      <c r="J54" s="210">
        <v>1828</v>
      </c>
      <c r="K54" s="211">
        <v>1646</v>
      </c>
      <c r="L54" s="210">
        <v>1496</v>
      </c>
      <c r="M54" s="210">
        <v>1370</v>
      </c>
      <c r="N54" s="210">
        <v>1266</v>
      </c>
      <c r="O54" s="210">
        <v>1175</v>
      </c>
      <c r="P54" s="211">
        <v>1027</v>
      </c>
      <c r="Q54" s="216">
        <v>914</v>
      </c>
    </row>
    <row r="55" spans="2:17" ht="13.5" thickBot="1" x14ac:dyDescent="0.25">
      <c r="B55" s="242"/>
      <c r="C55" s="243"/>
      <c r="D55" s="244" t="s">
        <v>1769</v>
      </c>
      <c r="E55" s="246">
        <v>2.9000000000000001E-2</v>
      </c>
      <c r="F55" s="245">
        <v>4.4999999999999998E-2</v>
      </c>
      <c r="G55" s="245">
        <v>6.4000000000000001E-2</v>
      </c>
      <c r="H55" s="246">
        <v>8.7999999999999995E-2</v>
      </c>
      <c r="I55" s="245">
        <v>0.115</v>
      </c>
      <c r="J55" s="245">
        <v>0.14499999999999999</v>
      </c>
      <c r="K55" s="262">
        <v>0.18</v>
      </c>
      <c r="L55" s="245">
        <v>0.217</v>
      </c>
      <c r="M55" s="245">
        <v>0.25900000000000001</v>
      </c>
      <c r="N55" s="245">
        <v>0.30299999999999999</v>
      </c>
      <c r="O55" s="245">
        <v>0.35299999999999998</v>
      </c>
      <c r="P55" s="262">
        <v>0.46</v>
      </c>
      <c r="Q55" s="247">
        <v>0.58299999999999996</v>
      </c>
    </row>
    <row r="56" spans="2:17" ht="13.5" thickTop="1" x14ac:dyDescent="0.2">
      <c r="B56" s="207"/>
      <c r="C56" s="208"/>
      <c r="D56" s="233" t="s">
        <v>1768</v>
      </c>
      <c r="E56" s="223">
        <v>5209</v>
      </c>
      <c r="F56" s="206">
        <v>3332</v>
      </c>
      <c r="G56" s="206">
        <v>2314</v>
      </c>
      <c r="H56" s="223">
        <v>1670</v>
      </c>
      <c r="I56" s="206">
        <v>1302</v>
      </c>
      <c r="J56" s="206">
        <v>1028</v>
      </c>
      <c r="K56" s="223">
        <v>835</v>
      </c>
      <c r="L56" s="206">
        <v>689</v>
      </c>
      <c r="M56" s="206">
        <v>583</v>
      </c>
      <c r="N56" s="206">
        <v>496</v>
      </c>
      <c r="O56" s="206">
        <v>428</v>
      </c>
      <c r="P56" s="223">
        <v>327</v>
      </c>
      <c r="Q56" s="223">
        <v>259</v>
      </c>
    </row>
    <row r="57" spans="2:17" ht="15.75" x14ac:dyDescent="0.25">
      <c r="B57" s="228" t="s">
        <v>1766</v>
      </c>
      <c r="C57" s="238">
        <v>15.4</v>
      </c>
      <c r="D57" s="232" t="s">
        <v>1769</v>
      </c>
      <c r="E57" s="211">
        <v>3.2000000000000001E-2</v>
      </c>
      <c r="F57" s="210">
        <v>0.05</v>
      </c>
      <c r="G57" s="210">
        <v>7.1999999999999995E-2</v>
      </c>
      <c r="H57" s="211">
        <v>9.8000000000000004E-2</v>
      </c>
      <c r="I57" s="210">
        <v>0.127</v>
      </c>
      <c r="J57" s="210">
        <v>0.16200000000000001</v>
      </c>
      <c r="K57" s="211">
        <v>0.19900000000000001</v>
      </c>
      <c r="L57" s="210">
        <v>0.24099999999999999</v>
      </c>
      <c r="M57" s="210">
        <v>0.28699999999999998</v>
      </c>
      <c r="N57" s="210">
        <v>0.33800000000000002</v>
      </c>
      <c r="O57" s="210">
        <v>0.39300000000000002</v>
      </c>
      <c r="P57" s="211">
        <v>0.51200000000000001</v>
      </c>
      <c r="Q57" s="211">
        <v>0.64600000000000002</v>
      </c>
    </row>
    <row r="58" spans="2:17" x14ac:dyDescent="0.2">
      <c r="B58" s="207"/>
      <c r="C58" s="300">
        <f>C57*10.76391042*0.4535924</f>
        <v>75.18939059620925</v>
      </c>
      <c r="D58" s="231" t="s">
        <v>1779</v>
      </c>
      <c r="E58" s="211">
        <v>5209</v>
      </c>
      <c r="F58" s="210">
        <v>4167</v>
      </c>
      <c r="G58" s="210">
        <v>3473</v>
      </c>
      <c r="H58" s="211">
        <v>2916</v>
      </c>
      <c r="I58" s="210">
        <v>2604</v>
      </c>
      <c r="J58" s="210">
        <v>2314</v>
      </c>
      <c r="K58" s="211">
        <v>2082</v>
      </c>
      <c r="L58" s="210">
        <v>1892</v>
      </c>
      <c r="M58" s="210">
        <v>1733</v>
      </c>
      <c r="N58" s="210">
        <v>1601</v>
      </c>
      <c r="O58" s="210">
        <v>1487</v>
      </c>
      <c r="P58" s="211">
        <v>1301</v>
      </c>
      <c r="Q58" s="211">
        <v>1157</v>
      </c>
    </row>
    <row r="59" spans="2:17" ht="13.5" thickBot="1" x14ac:dyDescent="0.25">
      <c r="B59" s="242"/>
      <c r="C59" s="243"/>
      <c r="D59" s="244" t="s">
        <v>1769</v>
      </c>
      <c r="E59" s="246">
        <v>2.5999999999999999E-2</v>
      </c>
      <c r="F59" s="245">
        <v>3.9E-2</v>
      </c>
      <c r="G59" s="245">
        <v>5.7000000000000002E-2</v>
      </c>
      <c r="H59" s="246">
        <v>7.9000000000000001E-2</v>
      </c>
      <c r="I59" s="245">
        <v>0.10199999999999999</v>
      </c>
      <c r="J59" s="245">
        <v>0.129</v>
      </c>
      <c r="K59" s="262">
        <v>0.16</v>
      </c>
      <c r="L59" s="245">
        <v>0.19400000000000001</v>
      </c>
      <c r="M59" s="263">
        <v>0.23</v>
      </c>
      <c r="N59" s="263">
        <v>0.27</v>
      </c>
      <c r="O59" s="245">
        <v>0.314</v>
      </c>
      <c r="P59" s="262">
        <v>0.41</v>
      </c>
      <c r="Q59" s="246">
        <v>0.51800000000000002</v>
      </c>
    </row>
    <row r="60" spans="2:17" ht="13.5" thickTop="1" x14ac:dyDescent="0.2">
      <c r="B60" s="264"/>
      <c r="C60" s="260"/>
      <c r="D60" s="250" t="s">
        <v>1768</v>
      </c>
      <c r="E60" s="223">
        <v>6432</v>
      </c>
      <c r="F60" s="206">
        <v>4115</v>
      </c>
      <c r="G60" s="206">
        <v>2858</v>
      </c>
      <c r="H60" s="223">
        <v>2099</v>
      </c>
      <c r="I60" s="206">
        <v>1609</v>
      </c>
      <c r="J60" s="206">
        <v>1271</v>
      </c>
      <c r="K60" s="223">
        <v>1029</v>
      </c>
      <c r="L60" s="206">
        <v>850</v>
      </c>
      <c r="M60" s="206">
        <v>720</v>
      </c>
      <c r="N60" s="206">
        <v>613</v>
      </c>
      <c r="O60" s="206">
        <v>529</v>
      </c>
      <c r="P60" s="223">
        <v>405</v>
      </c>
      <c r="Q60" s="223">
        <v>320</v>
      </c>
    </row>
    <row r="61" spans="2:17" ht="15.75" x14ac:dyDescent="0.25">
      <c r="B61" s="228" t="s">
        <v>1767</v>
      </c>
      <c r="C61" s="238">
        <v>17.100000000000001</v>
      </c>
      <c r="D61" s="232" t="s">
        <v>1769</v>
      </c>
      <c r="E61" s="211">
        <v>2.8000000000000001E-2</v>
      </c>
      <c r="F61" s="210">
        <v>4.3999999999999997E-2</v>
      </c>
      <c r="G61" s="210">
        <v>6.4000000000000001E-2</v>
      </c>
      <c r="H61" s="211">
        <v>8.7999999999999995E-2</v>
      </c>
      <c r="I61" s="210">
        <v>0.11600000000000001</v>
      </c>
      <c r="J61" s="210">
        <v>0.14499999999999999</v>
      </c>
      <c r="K61" s="226">
        <v>0.18</v>
      </c>
      <c r="L61" s="210">
        <v>0.217</v>
      </c>
      <c r="M61" s="227">
        <v>0.26</v>
      </c>
      <c r="N61" s="210">
        <v>0.30499999999999999</v>
      </c>
      <c r="O61" s="210">
        <v>0.35399999999999998</v>
      </c>
      <c r="P61" s="211">
        <v>0.46500000000000002</v>
      </c>
      <c r="Q61" s="211">
        <v>0.58599999999999997</v>
      </c>
    </row>
    <row r="62" spans="2:17" x14ac:dyDescent="0.2">
      <c r="B62" s="207"/>
      <c r="C62" s="300">
        <f>C61*10.76391042*0.4535924</f>
        <v>83.489518129557027</v>
      </c>
      <c r="D62" s="232" t="s">
        <v>1779</v>
      </c>
      <c r="E62" s="211">
        <v>6432</v>
      </c>
      <c r="F62" s="210">
        <v>5147</v>
      </c>
      <c r="G62" s="210">
        <v>4286</v>
      </c>
      <c r="H62" s="211">
        <v>3673</v>
      </c>
      <c r="I62" s="210">
        <v>3214</v>
      </c>
      <c r="J62" s="210">
        <v>2858</v>
      </c>
      <c r="K62" s="211">
        <v>2571</v>
      </c>
      <c r="L62" s="210">
        <v>2338</v>
      </c>
      <c r="M62" s="210">
        <v>2141</v>
      </c>
      <c r="N62" s="210">
        <v>1977</v>
      </c>
      <c r="O62" s="210">
        <v>1836</v>
      </c>
      <c r="P62" s="211">
        <v>1607</v>
      </c>
      <c r="Q62" s="211">
        <v>1429</v>
      </c>
    </row>
    <row r="63" spans="2:17" ht="13.5" thickBot="1" x14ac:dyDescent="0.25">
      <c r="B63" s="242"/>
      <c r="C63" s="243"/>
      <c r="D63" s="265" t="s">
        <v>1769</v>
      </c>
      <c r="E63" s="246">
        <v>2.3E-2</v>
      </c>
      <c r="F63" s="245">
        <v>3.5999999999999997E-2</v>
      </c>
      <c r="G63" s="245">
        <v>5.0999999999999997E-2</v>
      </c>
      <c r="H63" s="246">
        <v>7.0999999999999994E-2</v>
      </c>
      <c r="I63" s="245">
        <v>9.1999999999999998E-2</v>
      </c>
      <c r="J63" s="245">
        <v>0.11600000000000001</v>
      </c>
      <c r="K63" s="246">
        <v>0.14399999999999999</v>
      </c>
      <c r="L63" s="245">
        <v>0.17299999999999999</v>
      </c>
      <c r="M63" s="245">
        <v>0.20699999999999999</v>
      </c>
      <c r="N63" s="245">
        <v>0.24199999999999999</v>
      </c>
      <c r="O63" s="245">
        <v>0.28199999999999997</v>
      </c>
      <c r="P63" s="246">
        <v>0.36899999999999999</v>
      </c>
      <c r="Q63" s="246">
        <v>0.46700000000000003</v>
      </c>
    </row>
    <row r="64" spans="2:17" ht="13.5" thickTop="1" x14ac:dyDescent="0.2">
      <c r="B64" s="1"/>
      <c r="C64" s="205"/>
      <c r="D64" s="234"/>
      <c r="P64" s="1"/>
      <c r="Q64" s="1"/>
    </row>
    <row r="65" spans="2:4" x14ac:dyDescent="0.2">
      <c r="B65" s="1"/>
      <c r="C65" s="205"/>
      <c r="D65" s="234"/>
    </row>
    <row r="66" spans="2:4" x14ac:dyDescent="0.2">
      <c r="B66" s="1"/>
      <c r="C66" s="205"/>
      <c r="D66" s="234"/>
    </row>
    <row r="67" spans="2:4" x14ac:dyDescent="0.2">
      <c r="B67" s="1"/>
      <c r="D67" s="235"/>
    </row>
    <row r="68" spans="2:4" x14ac:dyDescent="0.2">
      <c r="B68" s="1"/>
      <c r="D68" s="235"/>
    </row>
    <row r="69" spans="2:4" x14ac:dyDescent="0.2">
      <c r="D69" s="235"/>
    </row>
    <row r="70" spans="2:4" x14ac:dyDescent="0.2">
      <c r="D70" s="235"/>
    </row>
    <row r="71" spans="2:4" x14ac:dyDescent="0.2">
      <c r="D71" s="235"/>
    </row>
    <row r="72" spans="2:4" x14ac:dyDescent="0.2">
      <c r="D72" s="235"/>
    </row>
    <row r="73" spans="2:4" x14ac:dyDescent="0.2">
      <c r="D73" s="235"/>
    </row>
    <row r="74" spans="2:4" x14ac:dyDescent="0.2">
      <c r="D74" s="235"/>
    </row>
    <row r="75" spans="2:4" x14ac:dyDescent="0.2">
      <c r="D75" s="235"/>
    </row>
    <row r="76" spans="2:4" x14ac:dyDescent="0.2">
      <c r="D76" s="235"/>
    </row>
    <row r="77" spans="2:4" x14ac:dyDescent="0.2">
      <c r="D77" s="235"/>
    </row>
    <row r="78" spans="2:4" x14ac:dyDescent="0.2">
      <c r="D78" s="235"/>
    </row>
    <row r="79" spans="2:4" x14ac:dyDescent="0.2">
      <c r="D79" s="235"/>
    </row>
    <row r="80" spans="2:4" x14ac:dyDescent="0.2">
      <c r="D80" s="235"/>
    </row>
    <row r="81" spans="4:4" x14ac:dyDescent="0.2">
      <c r="D81" s="235"/>
    </row>
    <row r="82" spans="4:4" x14ac:dyDescent="0.2">
      <c r="D82" s="235"/>
    </row>
    <row r="83" spans="4:4" x14ac:dyDescent="0.2">
      <c r="D83" s="235"/>
    </row>
    <row r="84" spans="4:4" x14ac:dyDescent="0.2">
      <c r="D84" s="235"/>
    </row>
    <row r="85" spans="4:4" x14ac:dyDescent="0.2">
      <c r="D85" s="235"/>
    </row>
    <row r="86" spans="4:4" x14ac:dyDescent="0.2">
      <c r="D86" s="235"/>
    </row>
    <row r="87" spans="4:4" x14ac:dyDescent="0.2">
      <c r="D87" s="235"/>
    </row>
    <row r="88" spans="4:4" x14ac:dyDescent="0.2">
      <c r="D88" s="235"/>
    </row>
    <row r="89" spans="4:4" x14ac:dyDescent="0.2">
      <c r="D89" s="235"/>
    </row>
    <row r="90" spans="4:4" x14ac:dyDescent="0.2">
      <c r="D90" s="235"/>
    </row>
    <row r="91" spans="4:4" x14ac:dyDescent="0.2">
      <c r="D91" s="235"/>
    </row>
    <row r="92" spans="4:4" x14ac:dyDescent="0.2">
      <c r="D92" s="235"/>
    </row>
    <row r="93" spans="4:4" x14ac:dyDescent="0.2">
      <c r="D93" s="235"/>
    </row>
    <row r="94" spans="4:4" x14ac:dyDescent="0.2">
      <c r="D94" s="235"/>
    </row>
    <row r="95" spans="4:4" x14ac:dyDescent="0.2">
      <c r="D95" s="235"/>
    </row>
    <row r="96" spans="4:4" x14ac:dyDescent="0.2">
      <c r="D96" s="235"/>
    </row>
    <row r="97" spans="4:4" x14ac:dyDescent="0.2">
      <c r="D97" s="235"/>
    </row>
    <row r="98" spans="4:4" x14ac:dyDescent="0.2">
      <c r="D98" s="235"/>
    </row>
    <row r="99" spans="4:4" x14ac:dyDescent="0.2">
      <c r="D99" s="235"/>
    </row>
  </sheetData>
  <sheetProtection password="CDD2" sheet="1" objects="1" scenarios="1"/>
  <pageMargins left="0.75" right="0.75" top="1" bottom="1" header="0.5" footer="0.5"/>
  <pageSetup orientation="portrait" verticalDpi="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O198"/>
  <sheetViews>
    <sheetView showGridLines="0" workbookViewId="0">
      <selection activeCell="A27" sqref="A27"/>
    </sheetView>
  </sheetViews>
  <sheetFormatPr defaultRowHeight="12.75" x14ac:dyDescent="0.2"/>
  <cols>
    <col min="1" max="1" width="0.7109375" customWidth="1"/>
    <col min="2" max="2" width="11.28515625" customWidth="1"/>
    <col min="3" max="3" width="12.85546875" customWidth="1"/>
    <col min="4" max="4" width="16.28515625" customWidth="1"/>
    <col min="5" max="5" width="16.42578125" customWidth="1"/>
    <col min="6" max="7" width="0" hidden="1" customWidth="1"/>
    <col min="8" max="8" width="12.7109375" customWidth="1"/>
    <col min="9" max="9" width="12.28515625" customWidth="1"/>
    <col min="10" max="10" width="13.140625" customWidth="1"/>
    <col min="11" max="11" width="13.85546875" customWidth="1"/>
    <col min="12" max="12" width="13.7109375" customWidth="1"/>
    <col min="13" max="14" width="0" hidden="1" customWidth="1"/>
    <col min="15" max="15" width="12" customWidth="1"/>
  </cols>
  <sheetData>
    <row r="3" spans="2:14" ht="15.75" x14ac:dyDescent="0.25">
      <c r="B3" s="807" t="s">
        <v>54</v>
      </c>
      <c r="I3" s="807" t="s">
        <v>54</v>
      </c>
    </row>
    <row r="4" spans="2:14" ht="15.75" x14ac:dyDescent="0.25">
      <c r="B4" s="807" t="s">
        <v>222</v>
      </c>
      <c r="I4" s="807" t="s">
        <v>222</v>
      </c>
    </row>
    <row r="5" spans="2:14" ht="13.5" thickBot="1" x14ac:dyDescent="0.25">
      <c r="B5" s="874" t="s">
        <v>221</v>
      </c>
      <c r="I5" s="874" t="s">
        <v>220</v>
      </c>
    </row>
    <row r="6" spans="2:14" ht="13.5" thickTop="1" x14ac:dyDescent="0.2">
      <c r="B6" s="855" t="s">
        <v>1101</v>
      </c>
      <c r="C6" s="964" t="s">
        <v>1111</v>
      </c>
      <c r="D6" s="881" t="s">
        <v>55</v>
      </c>
      <c r="E6" s="884" t="s">
        <v>56</v>
      </c>
      <c r="F6" s="350"/>
      <c r="G6" s="350"/>
      <c r="I6" s="853" t="s">
        <v>1101</v>
      </c>
      <c r="J6" s="964" t="s">
        <v>1111</v>
      </c>
      <c r="K6" s="881" t="s">
        <v>55</v>
      </c>
      <c r="L6" s="882" t="s">
        <v>56</v>
      </c>
      <c r="M6" s="883"/>
      <c r="N6" s="883"/>
    </row>
    <row r="7" spans="2:14" ht="13.5" thickBot="1" x14ac:dyDescent="0.25">
      <c r="B7" s="860" t="s">
        <v>1536</v>
      </c>
      <c r="C7" s="860"/>
      <c r="D7" s="859" t="s">
        <v>1802</v>
      </c>
      <c r="E7" s="872" t="s">
        <v>1802</v>
      </c>
      <c r="F7" s="350"/>
      <c r="G7" s="350"/>
      <c r="I7" s="965" t="s">
        <v>1536</v>
      </c>
      <c r="J7" s="860"/>
      <c r="K7" s="860" t="s">
        <v>1803</v>
      </c>
      <c r="L7" s="860" t="s">
        <v>1803</v>
      </c>
      <c r="M7" s="863"/>
      <c r="N7" s="863"/>
    </row>
    <row r="8" spans="2:14" ht="13.5" thickTop="1" x14ac:dyDescent="0.2">
      <c r="B8" s="880">
        <v>0.5</v>
      </c>
      <c r="C8" s="1051">
        <v>1.25</v>
      </c>
      <c r="D8" s="426">
        <f t="shared" ref="D8:D16" si="0">IF(C8=0," ",IF(C8&gt;0,+C8+F8))</f>
        <v>2.09375</v>
      </c>
      <c r="E8" s="426">
        <f t="shared" ref="E8:E16" si="1">IF(C8=0," ",IF(C8&gt;0,+C8+G8))</f>
        <v>2.25</v>
      </c>
      <c r="F8" s="875">
        <f>(0.6875+0.15625)</f>
        <v>0.84375</v>
      </c>
      <c r="G8" s="875">
        <f>(0.6875+0.3125)</f>
        <v>1</v>
      </c>
      <c r="I8" s="879">
        <v>13</v>
      </c>
      <c r="J8" s="885">
        <v>32</v>
      </c>
      <c r="K8" s="426">
        <f t="shared" ref="K8:K16" si="2">IF(J8=0," ",IF(J8&gt;0,+J8+M8))</f>
        <v>53.431249999999999</v>
      </c>
      <c r="L8" s="426">
        <f t="shared" ref="L8:L16" si="3">IF(J8=0," ",IF(J8&gt;0,+J8+N8))</f>
        <v>57.4</v>
      </c>
      <c r="M8" s="875">
        <f>(0.6875+0.15625)*25.4</f>
        <v>21.431249999999999</v>
      </c>
      <c r="N8" s="875">
        <f>(0.6875+0.3125)*25.4</f>
        <v>25.4</v>
      </c>
    </row>
    <row r="9" spans="2:14" x14ac:dyDescent="0.2">
      <c r="B9" s="878">
        <v>0.625</v>
      </c>
      <c r="C9" s="1050"/>
      <c r="D9" s="429" t="str">
        <f t="shared" si="0"/>
        <v xml:space="preserve"> </v>
      </c>
      <c r="E9" s="429" t="str">
        <f t="shared" si="1"/>
        <v xml:space="preserve"> </v>
      </c>
      <c r="F9" s="875">
        <f>(0.875+0.15625)</f>
        <v>1.03125</v>
      </c>
      <c r="G9" s="875">
        <f>(0.875+0.3125)</f>
        <v>1.1875</v>
      </c>
      <c r="I9" s="102">
        <v>16</v>
      </c>
      <c r="J9" s="886"/>
      <c r="K9" s="429" t="str">
        <f t="shared" si="2"/>
        <v xml:space="preserve"> </v>
      </c>
      <c r="L9" s="429" t="str">
        <f t="shared" si="3"/>
        <v xml:space="preserve"> </v>
      </c>
      <c r="M9" s="875">
        <f>(0.875+0.15625)*25.4</f>
        <v>26.193749999999998</v>
      </c>
      <c r="N9" s="875">
        <f>(0.875+0.3125)*25.4</f>
        <v>30.162499999999998</v>
      </c>
    </row>
    <row r="10" spans="2:14" x14ac:dyDescent="0.2">
      <c r="B10" s="878">
        <v>0.75</v>
      </c>
      <c r="C10" s="1050"/>
      <c r="D10" s="429" t="str">
        <f t="shared" si="0"/>
        <v xml:space="preserve"> </v>
      </c>
      <c r="E10" s="429" t="str">
        <f t="shared" si="1"/>
        <v xml:space="preserve"> </v>
      </c>
      <c r="F10" s="350">
        <f>(1+0.15625)</f>
        <v>1.15625</v>
      </c>
      <c r="G10" s="350">
        <f>(1+0.3125)</f>
        <v>1.3125</v>
      </c>
      <c r="I10" s="102">
        <v>19</v>
      </c>
      <c r="J10" s="886"/>
      <c r="K10" s="429" t="str">
        <f t="shared" si="2"/>
        <v xml:space="preserve"> </v>
      </c>
      <c r="L10" s="429" t="str">
        <f t="shared" si="3"/>
        <v xml:space="preserve"> </v>
      </c>
      <c r="M10" s="350">
        <f>(1+0.15625)*25.4</f>
        <v>29.368749999999999</v>
      </c>
      <c r="N10" s="350">
        <f>(1+0.3125)*25.4</f>
        <v>33.337499999999999</v>
      </c>
    </row>
    <row r="11" spans="2:14" x14ac:dyDescent="0.2">
      <c r="B11" s="878">
        <v>0.875</v>
      </c>
      <c r="C11" s="1050"/>
      <c r="D11" s="429" t="str">
        <f t="shared" si="0"/>
        <v xml:space="preserve"> </v>
      </c>
      <c r="E11" s="429" t="str">
        <f t="shared" si="1"/>
        <v xml:space="preserve"> </v>
      </c>
      <c r="F11" s="350">
        <f>(1.125+0.15625)</f>
        <v>1.28125</v>
      </c>
      <c r="G11" s="350">
        <f>(1.125+0.3125)</f>
        <v>1.4375</v>
      </c>
      <c r="I11" s="102">
        <v>22</v>
      </c>
      <c r="J11" s="886"/>
      <c r="K11" s="429" t="str">
        <f t="shared" si="2"/>
        <v xml:space="preserve"> </v>
      </c>
      <c r="L11" s="429" t="str">
        <f t="shared" si="3"/>
        <v xml:space="preserve"> </v>
      </c>
      <c r="M11" s="350">
        <f>(1.125+0.15625)*25.4</f>
        <v>32.543749999999996</v>
      </c>
      <c r="N11" s="350">
        <f>(1.125+0.3125)*25.4</f>
        <v>36.512499999999996</v>
      </c>
    </row>
    <row r="12" spans="2:14" x14ac:dyDescent="0.2">
      <c r="B12" s="878">
        <v>1</v>
      </c>
      <c r="C12" s="1050"/>
      <c r="D12" s="429" t="str">
        <f t="shared" si="0"/>
        <v xml:space="preserve"> </v>
      </c>
      <c r="E12" s="429" t="str">
        <f t="shared" si="1"/>
        <v xml:space="preserve"> </v>
      </c>
      <c r="F12" s="350">
        <f>(1.25+0.15625)</f>
        <v>1.40625</v>
      </c>
      <c r="G12" s="350">
        <f>(1.25+0.3125)</f>
        <v>1.5625</v>
      </c>
      <c r="I12" s="102">
        <v>25</v>
      </c>
      <c r="J12" s="886"/>
      <c r="K12" s="429" t="str">
        <f t="shared" si="2"/>
        <v xml:space="preserve"> </v>
      </c>
      <c r="L12" s="429" t="str">
        <f t="shared" si="3"/>
        <v xml:space="preserve"> </v>
      </c>
      <c r="M12" s="350">
        <f>(1.25+0.15625)*25.4</f>
        <v>35.71875</v>
      </c>
      <c r="N12" s="350">
        <f>(1.25+0.3125)*25.4</f>
        <v>39.6875</v>
      </c>
    </row>
    <row r="13" spans="2:14" x14ac:dyDescent="0.2">
      <c r="B13" s="878">
        <v>1.125</v>
      </c>
      <c r="C13" s="1050"/>
      <c r="D13" s="429" t="str">
        <f t="shared" si="0"/>
        <v xml:space="preserve"> </v>
      </c>
      <c r="E13" s="429" t="str">
        <f t="shared" si="1"/>
        <v xml:space="preserve"> </v>
      </c>
      <c r="F13" s="350">
        <f>(1.5+0.15625)</f>
        <v>1.65625</v>
      </c>
      <c r="G13" s="350">
        <f>(1.5+0.3125)</f>
        <v>1.8125</v>
      </c>
      <c r="I13" s="102">
        <v>30</v>
      </c>
      <c r="J13" s="886"/>
      <c r="K13" s="429" t="str">
        <f t="shared" si="2"/>
        <v xml:space="preserve"> </v>
      </c>
      <c r="L13" s="429" t="str">
        <f t="shared" si="3"/>
        <v xml:space="preserve"> </v>
      </c>
      <c r="M13" s="350">
        <f>(1.5+0.15625)*25.4</f>
        <v>42.068749999999994</v>
      </c>
      <c r="N13" s="350">
        <f>(1.5+0.3125)*25.4</f>
        <v>46.037499999999994</v>
      </c>
    </row>
    <row r="14" spans="2:14" x14ac:dyDescent="0.2">
      <c r="B14" s="878">
        <v>1.25</v>
      </c>
      <c r="C14" s="1050"/>
      <c r="D14" s="429" t="str">
        <f t="shared" si="0"/>
        <v xml:space="preserve"> </v>
      </c>
      <c r="E14" s="429" t="str">
        <f t="shared" si="1"/>
        <v xml:space="preserve"> </v>
      </c>
      <c r="F14" s="350">
        <f>(1.625+0.15625)</f>
        <v>1.78125</v>
      </c>
      <c r="G14" s="350">
        <f>(1.625+0.3125)</f>
        <v>1.9375</v>
      </c>
      <c r="I14" s="102">
        <v>32</v>
      </c>
      <c r="J14" s="886"/>
      <c r="K14" s="429" t="str">
        <f t="shared" si="2"/>
        <v xml:space="preserve"> </v>
      </c>
      <c r="L14" s="429" t="str">
        <f t="shared" si="3"/>
        <v xml:space="preserve"> </v>
      </c>
      <c r="M14" s="350">
        <f>(1.625+0.15625)*25.4</f>
        <v>45.243749999999999</v>
      </c>
      <c r="N14" s="350">
        <f>(1.625+0.3125)*25.4</f>
        <v>49.212499999999999</v>
      </c>
    </row>
    <row r="15" spans="2:14" x14ac:dyDescent="0.2">
      <c r="B15" s="878">
        <v>1.375</v>
      </c>
      <c r="C15" s="1050"/>
      <c r="D15" s="429" t="str">
        <f t="shared" si="0"/>
        <v xml:space="preserve"> </v>
      </c>
      <c r="E15" s="429" t="str">
        <f t="shared" si="1"/>
        <v xml:space="preserve"> </v>
      </c>
      <c r="F15" s="350">
        <f>(1.75+0.15625)</f>
        <v>1.90625</v>
      </c>
      <c r="G15" s="350">
        <f>(1.75+0.3125)</f>
        <v>2.0625</v>
      </c>
      <c r="I15" s="102">
        <v>35</v>
      </c>
      <c r="J15" s="886"/>
      <c r="K15" s="429" t="str">
        <f t="shared" si="2"/>
        <v xml:space="preserve"> </v>
      </c>
      <c r="L15" s="429" t="str">
        <f t="shared" si="3"/>
        <v xml:space="preserve"> </v>
      </c>
      <c r="M15" s="350">
        <f>(1.75+0.15625)*25.4</f>
        <v>48.418749999999996</v>
      </c>
      <c r="N15" s="350">
        <f>(1.75+0.3125)*25.4</f>
        <v>52.387499999999996</v>
      </c>
    </row>
    <row r="16" spans="2:14" x14ac:dyDescent="0.2">
      <c r="B16" s="878">
        <v>1.5</v>
      </c>
      <c r="C16" s="1050"/>
      <c r="D16" s="429" t="str">
        <f t="shared" si="0"/>
        <v xml:space="preserve"> </v>
      </c>
      <c r="E16" s="429" t="str">
        <f t="shared" si="1"/>
        <v xml:space="preserve"> </v>
      </c>
      <c r="F16" s="350">
        <f>(1.875+0.15625)</f>
        <v>2.03125</v>
      </c>
      <c r="G16" s="350">
        <f>(1.875+0.3125)</f>
        <v>2.1875</v>
      </c>
      <c r="I16" s="102">
        <v>38</v>
      </c>
      <c r="J16" s="886"/>
      <c r="K16" s="429" t="str">
        <f t="shared" si="2"/>
        <v xml:space="preserve"> </v>
      </c>
      <c r="L16" s="429" t="str">
        <f t="shared" si="3"/>
        <v xml:space="preserve"> </v>
      </c>
      <c r="M16" s="350">
        <f>(1.875+0.15625)*25.4</f>
        <v>51.59375</v>
      </c>
      <c r="N16" s="350">
        <f>(1.875+0.3125)*25.4</f>
        <v>55.5625</v>
      </c>
    </row>
    <row r="17" spans="2:14" x14ac:dyDescent="0.2">
      <c r="B17" s="876" t="s">
        <v>57</v>
      </c>
      <c r="C17" s="350"/>
      <c r="D17" s="350"/>
      <c r="E17" s="350"/>
      <c r="F17" s="350"/>
      <c r="G17" s="350"/>
      <c r="I17" s="876" t="s">
        <v>57</v>
      </c>
      <c r="J17" s="350"/>
      <c r="K17" s="350"/>
      <c r="L17" s="350"/>
      <c r="M17" s="350"/>
      <c r="N17" s="350"/>
    </row>
    <row r="18" spans="2:14" x14ac:dyDescent="0.2">
      <c r="B18" s="877" t="s">
        <v>58</v>
      </c>
      <c r="C18" s="350"/>
      <c r="D18" s="350"/>
      <c r="E18" s="350"/>
      <c r="F18" s="350"/>
      <c r="G18" s="350"/>
      <c r="I18" s="877" t="s">
        <v>58</v>
      </c>
      <c r="J18" s="350"/>
      <c r="K18" s="350"/>
      <c r="L18" s="350"/>
      <c r="M18" s="350"/>
      <c r="N18" s="350"/>
    </row>
    <row r="19" spans="2:14" ht="15" x14ac:dyDescent="0.2">
      <c r="B19" s="945" t="s">
        <v>198</v>
      </c>
      <c r="C19" s="350"/>
      <c r="D19" s="350"/>
      <c r="E19" s="350"/>
      <c r="F19" s="350"/>
      <c r="G19" s="350"/>
      <c r="I19" s="877"/>
      <c r="J19" s="350"/>
      <c r="K19" s="350"/>
      <c r="L19" s="350"/>
      <c r="M19" s="350"/>
      <c r="N19" s="350"/>
    </row>
    <row r="20" spans="2:14" x14ac:dyDescent="0.2">
      <c r="B20" s="877" t="s">
        <v>218</v>
      </c>
      <c r="C20" s="350"/>
      <c r="D20" s="350"/>
      <c r="E20" s="350"/>
      <c r="F20" s="350"/>
      <c r="G20" s="350"/>
      <c r="I20" s="877"/>
      <c r="J20" s="350"/>
      <c r="K20" s="350"/>
      <c r="L20" s="350"/>
      <c r="M20" s="350"/>
      <c r="N20" s="350"/>
    </row>
    <row r="21" spans="2:14" x14ac:dyDescent="0.2">
      <c r="B21" s="963" t="s">
        <v>219</v>
      </c>
      <c r="C21" s="350"/>
      <c r="D21" s="350"/>
      <c r="E21" s="350"/>
      <c r="F21" s="350"/>
      <c r="G21" s="350"/>
      <c r="I21" s="877"/>
      <c r="J21" s="350"/>
      <c r="K21" s="350"/>
      <c r="L21" s="350"/>
      <c r="M21" s="350"/>
      <c r="N21" s="350"/>
    </row>
    <row r="22" spans="2:14" x14ac:dyDescent="0.2">
      <c r="B22" s="877" t="s">
        <v>199</v>
      </c>
      <c r="C22" s="350"/>
      <c r="D22" s="350"/>
      <c r="E22" s="350"/>
      <c r="F22" s="350"/>
      <c r="G22" s="350"/>
      <c r="I22" s="877"/>
      <c r="J22" s="350"/>
      <c r="K22" s="350"/>
      <c r="L22" s="350"/>
      <c r="M22" s="350"/>
      <c r="N22" s="350"/>
    </row>
    <row r="23" spans="2:14" x14ac:dyDescent="0.2">
      <c r="B23" s="959" t="s">
        <v>223</v>
      </c>
      <c r="C23" s="350"/>
      <c r="D23" s="350"/>
      <c r="E23" s="350"/>
      <c r="F23" s="350"/>
      <c r="G23" s="350"/>
      <c r="I23" s="877"/>
      <c r="J23" s="350"/>
      <c r="K23" s="350"/>
      <c r="L23" s="350"/>
      <c r="M23" s="350"/>
      <c r="N23" s="350"/>
    </row>
    <row r="24" spans="2:14" x14ac:dyDescent="0.2">
      <c r="B24" s="960" t="s">
        <v>200</v>
      </c>
      <c r="C24" s="350"/>
      <c r="D24" s="350"/>
      <c r="E24" s="350"/>
      <c r="F24" s="350"/>
      <c r="G24" s="350"/>
      <c r="I24" s="877"/>
      <c r="J24" s="350"/>
      <c r="K24" s="350"/>
      <c r="L24" s="350"/>
      <c r="M24" s="350"/>
      <c r="N24" s="350"/>
    </row>
    <row r="25" spans="2:14" ht="13.5" thickBot="1" x14ac:dyDescent="0.25">
      <c r="B25" s="877"/>
      <c r="C25" s="350"/>
      <c r="D25" s="350"/>
      <c r="E25" s="350"/>
      <c r="F25" s="350"/>
      <c r="G25" s="350"/>
      <c r="I25" s="877"/>
      <c r="J25" s="350"/>
      <c r="K25" s="350"/>
      <c r="L25" s="350"/>
      <c r="M25" s="350"/>
      <c r="N25" s="350"/>
    </row>
    <row r="26" spans="2:14" ht="16.5" thickTop="1" x14ac:dyDescent="0.25">
      <c r="B26" s="947" t="s">
        <v>1481</v>
      </c>
      <c r="C26" s="954" t="s">
        <v>201</v>
      </c>
      <c r="D26" s="897"/>
      <c r="E26" s="954" t="s">
        <v>205</v>
      </c>
      <c r="F26" s="897"/>
      <c r="G26" s="896"/>
      <c r="H26" s="897"/>
      <c r="I26" s="1038" t="s">
        <v>265</v>
      </c>
      <c r="J26" s="897"/>
      <c r="K26" s="350"/>
      <c r="L26" s="350"/>
      <c r="M26" s="350"/>
      <c r="N26" s="350"/>
    </row>
    <row r="27" spans="2:14" ht="15.75" x14ac:dyDescent="0.25">
      <c r="B27" s="948" t="s">
        <v>1101</v>
      </c>
      <c r="C27" s="898" t="s">
        <v>269</v>
      </c>
      <c r="D27" s="899"/>
      <c r="E27" s="898" t="s">
        <v>267</v>
      </c>
      <c r="F27" s="899"/>
      <c r="G27" s="350"/>
      <c r="H27" s="899"/>
      <c r="I27" s="1037" t="s">
        <v>266</v>
      </c>
      <c r="J27" s="899"/>
      <c r="K27" s="350"/>
      <c r="L27" s="350"/>
      <c r="M27" s="350"/>
      <c r="N27" s="350"/>
    </row>
    <row r="28" spans="2:14" ht="16.5" thickBot="1" x14ac:dyDescent="0.3">
      <c r="B28" s="948" t="s">
        <v>894</v>
      </c>
      <c r="C28" s="898" t="s">
        <v>270</v>
      </c>
      <c r="D28" s="899"/>
      <c r="E28" s="898" t="s">
        <v>268</v>
      </c>
      <c r="F28" s="899"/>
      <c r="G28" s="350"/>
      <c r="H28" s="899"/>
      <c r="I28" s="1037" t="s">
        <v>264</v>
      </c>
      <c r="J28" s="899"/>
      <c r="K28" s="350"/>
      <c r="L28" s="350"/>
      <c r="M28" s="350"/>
      <c r="N28" s="350"/>
    </row>
    <row r="29" spans="2:14" ht="14.25" thickTop="1" thickBot="1" x14ac:dyDescent="0.25">
      <c r="B29" s="1097" t="s">
        <v>442</v>
      </c>
      <c r="C29" s="1034" t="s">
        <v>1802</v>
      </c>
      <c r="D29" s="1034" t="s">
        <v>98</v>
      </c>
      <c r="E29" s="1034" t="s">
        <v>1802</v>
      </c>
      <c r="F29" s="1034" t="s">
        <v>98</v>
      </c>
      <c r="G29" s="904"/>
      <c r="H29" s="1034" t="s">
        <v>98</v>
      </c>
      <c r="I29" s="1034" t="s">
        <v>1802</v>
      </c>
      <c r="J29" s="1034" t="s">
        <v>98</v>
      </c>
      <c r="K29" s="350"/>
      <c r="L29" s="350"/>
      <c r="M29" s="350"/>
      <c r="N29" s="350"/>
    </row>
    <row r="30" spans="2:14" ht="13.5" thickTop="1" x14ac:dyDescent="0.2">
      <c r="B30" s="169" t="s">
        <v>352</v>
      </c>
      <c r="C30" s="1032" t="s">
        <v>202</v>
      </c>
      <c r="D30" s="1028">
        <f>0.6875*25.4</f>
        <v>17.462499999999999</v>
      </c>
      <c r="E30" s="950" t="s">
        <v>206</v>
      </c>
      <c r="F30" s="961"/>
      <c r="G30" s="961"/>
      <c r="H30" s="1035">
        <f>1.1875*25.4</f>
        <v>30.162499999999998</v>
      </c>
      <c r="I30" s="950" t="s">
        <v>123</v>
      </c>
      <c r="J30" s="1028">
        <f>1.5*25.4</f>
        <v>38.099999999999994</v>
      </c>
      <c r="K30" s="350"/>
      <c r="L30" s="350"/>
      <c r="M30" s="350"/>
      <c r="N30" s="350"/>
    </row>
    <row r="31" spans="2:14" x14ac:dyDescent="0.2">
      <c r="B31" s="58" t="s">
        <v>409</v>
      </c>
      <c r="C31" s="1033" t="s">
        <v>118</v>
      </c>
      <c r="D31" s="1029">
        <f>0.875*25.4</f>
        <v>22.224999999999998</v>
      </c>
      <c r="E31" s="75" t="s">
        <v>123</v>
      </c>
      <c r="F31" s="962"/>
      <c r="G31" s="962"/>
      <c r="H31" s="1036">
        <f>1.5*25.4</f>
        <v>38.099999999999994</v>
      </c>
      <c r="I31" s="75" t="s">
        <v>204</v>
      </c>
      <c r="J31" s="1029">
        <f>1.875*25.4</f>
        <v>47.625</v>
      </c>
      <c r="K31" s="350"/>
      <c r="L31" s="350"/>
      <c r="M31" s="350"/>
      <c r="N31" s="350"/>
    </row>
    <row r="32" spans="2:14" x14ac:dyDescent="0.2">
      <c r="B32" s="58" t="s">
        <v>353</v>
      </c>
      <c r="C32" s="1033" t="s">
        <v>119</v>
      </c>
      <c r="D32" s="1029">
        <v>25</v>
      </c>
      <c r="E32" s="75" t="s">
        <v>203</v>
      </c>
      <c r="F32" s="962"/>
      <c r="G32" s="962"/>
      <c r="H32" s="1036">
        <f>1.75*25.4</f>
        <v>44.449999999999996</v>
      </c>
      <c r="I32" s="75" t="s">
        <v>211</v>
      </c>
      <c r="J32" s="1029">
        <f>2.125*25.4</f>
        <v>53.974999999999994</v>
      </c>
      <c r="K32" s="350"/>
      <c r="L32" s="350"/>
      <c r="M32" s="350"/>
      <c r="N32" s="350"/>
    </row>
    <row r="33" spans="2:14" x14ac:dyDescent="0.2">
      <c r="B33" s="58" t="s">
        <v>405</v>
      </c>
      <c r="C33" s="1033" t="s">
        <v>120</v>
      </c>
      <c r="D33" s="1029">
        <f>1.125*25.4</f>
        <v>28.574999999999999</v>
      </c>
      <c r="E33" s="75" t="s">
        <v>189</v>
      </c>
      <c r="F33" s="962"/>
      <c r="G33" s="962"/>
      <c r="H33" s="1036">
        <f>2*25.4</f>
        <v>50.8</v>
      </c>
      <c r="I33" s="75" t="s">
        <v>212</v>
      </c>
      <c r="J33" s="1029">
        <f>2.375*25.4</f>
        <v>60.324999999999996</v>
      </c>
      <c r="K33" s="350"/>
      <c r="L33" s="350"/>
      <c r="M33" s="350"/>
      <c r="N33" s="350"/>
    </row>
    <row r="34" spans="2:14" x14ac:dyDescent="0.2">
      <c r="B34" s="58" t="s">
        <v>354</v>
      </c>
      <c r="C34" s="1033" t="s">
        <v>121</v>
      </c>
      <c r="D34" s="1029">
        <f>1.25*25.4</f>
        <v>31.75</v>
      </c>
      <c r="E34" s="75" t="s">
        <v>190</v>
      </c>
      <c r="F34" s="962"/>
      <c r="G34" s="962"/>
      <c r="H34" s="1036">
        <f>2.25*25.4</f>
        <v>57.15</v>
      </c>
      <c r="I34" s="75" t="s">
        <v>213</v>
      </c>
      <c r="J34" s="1029">
        <f>2.75*25.4</f>
        <v>69.849999999999994</v>
      </c>
      <c r="K34" s="350"/>
      <c r="L34" s="350"/>
      <c r="M34" s="350"/>
      <c r="N34" s="350"/>
    </row>
    <row r="35" spans="2:14" x14ac:dyDescent="0.2">
      <c r="B35" s="58" t="s">
        <v>395</v>
      </c>
      <c r="C35" s="1033" t="s">
        <v>123</v>
      </c>
      <c r="D35" s="1029">
        <f>1.5*25.4</f>
        <v>38.099999999999994</v>
      </c>
      <c r="E35" s="75" t="s">
        <v>207</v>
      </c>
      <c r="F35" s="962"/>
      <c r="G35" s="962"/>
      <c r="H35" s="1036">
        <f>2.625*25.4</f>
        <v>66.674999999999997</v>
      </c>
      <c r="I35" s="75" t="s">
        <v>209</v>
      </c>
      <c r="J35" s="1029">
        <f>3.125*25.4</f>
        <v>79.375</v>
      </c>
      <c r="K35" s="350"/>
      <c r="L35" s="350"/>
      <c r="M35" s="350"/>
      <c r="N35" s="350"/>
    </row>
    <row r="36" spans="2:14" x14ac:dyDescent="0.2">
      <c r="B36" s="58" t="s">
        <v>406</v>
      </c>
      <c r="C36" s="1033" t="s">
        <v>196</v>
      </c>
      <c r="D36" s="1029">
        <f>1.625*25.4</f>
        <v>41.274999999999999</v>
      </c>
      <c r="E36" s="75" t="s">
        <v>208</v>
      </c>
      <c r="F36" s="962"/>
      <c r="G36" s="962"/>
      <c r="H36" s="1036">
        <f>2.875*25.4</f>
        <v>73.024999999999991</v>
      </c>
      <c r="I36" s="75" t="s">
        <v>214</v>
      </c>
      <c r="J36" s="1029">
        <f>3.25*25.4</f>
        <v>82.55</v>
      </c>
      <c r="K36" s="350"/>
      <c r="L36" s="350"/>
      <c r="M36" s="350"/>
      <c r="N36" s="350"/>
    </row>
    <row r="37" spans="2:14" x14ac:dyDescent="0.2">
      <c r="B37" s="58" t="s">
        <v>396</v>
      </c>
      <c r="C37" s="1033" t="s">
        <v>203</v>
      </c>
      <c r="D37" s="1029">
        <f>1.75*25.4</f>
        <v>44.449999999999996</v>
      </c>
      <c r="E37" s="75" t="s">
        <v>209</v>
      </c>
      <c r="F37" s="962"/>
      <c r="G37" s="962"/>
      <c r="H37" s="1036">
        <f>3.125*25.4</f>
        <v>79.375</v>
      </c>
      <c r="I37" s="75" t="s">
        <v>215</v>
      </c>
      <c r="J37" s="1029">
        <f>3.625*25.4</f>
        <v>92.074999999999989</v>
      </c>
      <c r="K37" s="350"/>
      <c r="L37" s="350"/>
      <c r="M37" s="350"/>
      <c r="N37" s="350"/>
    </row>
    <row r="38" spans="2:14" x14ac:dyDescent="0.2">
      <c r="B38" s="58" t="s">
        <v>407</v>
      </c>
      <c r="C38" s="1033" t="s">
        <v>204</v>
      </c>
      <c r="D38" s="1029">
        <f>1.875*25.4</f>
        <v>47.625</v>
      </c>
      <c r="E38" s="75" t="s">
        <v>210</v>
      </c>
      <c r="F38" s="962"/>
      <c r="G38" s="962"/>
      <c r="H38" s="1036">
        <f>3.375*25.4</f>
        <v>85.724999999999994</v>
      </c>
      <c r="I38" s="75" t="s">
        <v>216</v>
      </c>
      <c r="J38" s="1029">
        <f>3.75*25.4</f>
        <v>95.25</v>
      </c>
      <c r="K38" s="350"/>
      <c r="L38" s="350"/>
      <c r="M38" s="350"/>
      <c r="N38" s="350"/>
    </row>
    <row r="40" spans="2:14" ht="15" x14ac:dyDescent="0.2">
      <c r="B40" s="945" t="s">
        <v>179</v>
      </c>
    </row>
    <row r="41" spans="2:14" x14ac:dyDescent="0.2">
      <c r="B41" t="s">
        <v>110</v>
      </c>
    </row>
    <row r="42" spans="2:14" x14ac:dyDescent="0.2">
      <c r="B42" t="s">
        <v>111</v>
      </c>
    </row>
    <row r="43" spans="2:14" x14ac:dyDescent="0.2">
      <c r="B43" t="s">
        <v>249</v>
      </c>
    </row>
    <row r="44" spans="2:14" x14ac:dyDescent="0.2">
      <c r="B44" s="946" t="s">
        <v>112</v>
      </c>
    </row>
    <row r="45" spans="2:14" x14ac:dyDescent="0.2">
      <c r="B45" s="1002" t="s">
        <v>247</v>
      </c>
    </row>
    <row r="46" spans="2:14" x14ac:dyDescent="0.2">
      <c r="B46" s="1002" t="s">
        <v>248</v>
      </c>
    </row>
    <row r="47" spans="2:14" ht="15" x14ac:dyDescent="0.2">
      <c r="B47" s="945" t="s">
        <v>113</v>
      </c>
    </row>
    <row r="48" spans="2:14" x14ac:dyDescent="0.2">
      <c r="B48" t="s">
        <v>114</v>
      </c>
    </row>
    <row r="50" spans="2:12" ht="13.5" thickBot="1" x14ac:dyDescent="0.25"/>
    <row r="51" spans="2:12" ht="17.25" thickTop="1" thickBot="1" x14ac:dyDescent="0.3">
      <c r="B51" s="966"/>
      <c r="C51" s="967" t="s">
        <v>274</v>
      </c>
      <c r="D51" s="968"/>
      <c r="E51" s="969"/>
      <c r="I51" s="966"/>
      <c r="J51" s="967" t="s">
        <v>275</v>
      </c>
      <c r="K51" s="968"/>
      <c r="L51" s="969"/>
    </row>
    <row r="52" spans="2:12" ht="16.5" thickTop="1" x14ac:dyDescent="0.25">
      <c r="B52" s="970" t="s">
        <v>1481</v>
      </c>
      <c r="C52" s="966" t="s">
        <v>125</v>
      </c>
      <c r="D52" s="966" t="s">
        <v>126</v>
      </c>
      <c r="E52" s="966" t="s">
        <v>128</v>
      </c>
      <c r="I52" s="970" t="s">
        <v>1481</v>
      </c>
      <c r="J52" s="966" t="s">
        <v>125</v>
      </c>
      <c r="K52" s="966" t="s">
        <v>126</v>
      </c>
      <c r="L52" s="966" t="s">
        <v>128</v>
      </c>
    </row>
    <row r="53" spans="2:12" ht="15.75" x14ac:dyDescent="0.25">
      <c r="B53" s="970" t="s">
        <v>1101</v>
      </c>
      <c r="C53" s="970" t="s">
        <v>1931</v>
      </c>
      <c r="D53" s="970" t="s">
        <v>127</v>
      </c>
      <c r="E53" s="970" t="s">
        <v>127</v>
      </c>
      <c r="I53" s="970" t="s">
        <v>1101</v>
      </c>
      <c r="J53" s="970" t="s">
        <v>1931</v>
      </c>
      <c r="K53" s="970" t="s">
        <v>127</v>
      </c>
      <c r="L53" s="970" t="s">
        <v>127</v>
      </c>
    </row>
    <row r="54" spans="2:12" ht="16.5" thickBot="1" x14ac:dyDescent="0.3">
      <c r="B54" s="971" t="s">
        <v>894</v>
      </c>
      <c r="C54" s="972"/>
      <c r="D54" s="971" t="s">
        <v>1931</v>
      </c>
      <c r="E54" s="971" t="s">
        <v>1931</v>
      </c>
      <c r="I54" s="971" t="s">
        <v>894</v>
      </c>
      <c r="J54" s="972"/>
      <c r="K54" s="971" t="s">
        <v>1931</v>
      </c>
      <c r="L54" s="971" t="s">
        <v>1931</v>
      </c>
    </row>
    <row r="55" spans="2:12" ht="13.5" thickTop="1" x14ac:dyDescent="0.2">
      <c r="B55" s="951" t="s">
        <v>115</v>
      </c>
      <c r="C55" s="950" t="s">
        <v>116</v>
      </c>
      <c r="D55" s="950" t="s">
        <v>137</v>
      </c>
      <c r="E55" s="950" t="s">
        <v>147</v>
      </c>
      <c r="I55" s="951">
        <v>13</v>
      </c>
      <c r="J55" s="950">
        <v>16</v>
      </c>
      <c r="K55" s="950" t="s">
        <v>158</v>
      </c>
      <c r="L55" s="950" t="s">
        <v>168</v>
      </c>
    </row>
    <row r="56" spans="2:12" x14ac:dyDescent="0.2">
      <c r="B56" s="102" t="s">
        <v>116</v>
      </c>
      <c r="C56" s="75" t="s">
        <v>129</v>
      </c>
      <c r="D56" s="75" t="s">
        <v>138</v>
      </c>
      <c r="E56" s="75" t="s">
        <v>148</v>
      </c>
      <c r="I56" s="102">
        <v>16</v>
      </c>
      <c r="J56" s="75">
        <v>21</v>
      </c>
      <c r="K56" s="75" t="s">
        <v>159</v>
      </c>
      <c r="L56" s="75" t="s">
        <v>169</v>
      </c>
    </row>
    <row r="57" spans="2:12" x14ac:dyDescent="0.2">
      <c r="B57" s="102" t="s">
        <v>117</v>
      </c>
      <c r="C57" s="75" t="s">
        <v>130</v>
      </c>
      <c r="D57" s="75" t="s">
        <v>139</v>
      </c>
      <c r="E57" s="75" t="s">
        <v>149</v>
      </c>
      <c r="I57" s="102">
        <v>19</v>
      </c>
      <c r="J57" s="75">
        <v>24</v>
      </c>
      <c r="K57" s="75" t="s">
        <v>160</v>
      </c>
      <c r="L57" s="75" t="s">
        <v>170</v>
      </c>
    </row>
    <row r="58" spans="2:12" x14ac:dyDescent="0.2">
      <c r="B58" s="102" t="s">
        <v>118</v>
      </c>
      <c r="C58" s="75" t="s">
        <v>131</v>
      </c>
      <c r="D58" s="75" t="s">
        <v>140</v>
      </c>
      <c r="E58" s="75" t="s">
        <v>150</v>
      </c>
      <c r="I58" s="102">
        <v>22</v>
      </c>
      <c r="J58" s="75">
        <v>27</v>
      </c>
      <c r="K58" s="75" t="s">
        <v>161</v>
      </c>
      <c r="L58" s="75" t="s">
        <v>171</v>
      </c>
    </row>
    <row r="59" spans="2:12" x14ac:dyDescent="0.2">
      <c r="B59" s="102" t="s">
        <v>119</v>
      </c>
      <c r="C59" s="75" t="s">
        <v>121</v>
      </c>
      <c r="D59" s="75" t="s">
        <v>141</v>
      </c>
      <c r="E59" s="75" t="s">
        <v>151</v>
      </c>
      <c r="I59" s="102">
        <v>25</v>
      </c>
      <c r="J59" s="75">
        <v>32</v>
      </c>
      <c r="K59" s="75" t="s">
        <v>162</v>
      </c>
      <c r="L59" s="75" t="s">
        <v>172</v>
      </c>
    </row>
    <row r="60" spans="2:12" x14ac:dyDescent="0.2">
      <c r="B60" s="102" t="s">
        <v>120</v>
      </c>
      <c r="C60" s="75" t="s">
        <v>132</v>
      </c>
      <c r="D60" s="75" t="s">
        <v>142</v>
      </c>
      <c r="E60" s="75" t="s">
        <v>152</v>
      </c>
      <c r="I60" s="102">
        <v>29</v>
      </c>
      <c r="J60" s="75">
        <v>37</v>
      </c>
      <c r="K60" s="75" t="s">
        <v>163</v>
      </c>
      <c r="L60" s="75" t="s">
        <v>173</v>
      </c>
    </row>
    <row r="61" spans="2:12" x14ac:dyDescent="0.2">
      <c r="B61" s="102" t="s">
        <v>121</v>
      </c>
      <c r="C61" s="75" t="s">
        <v>133</v>
      </c>
      <c r="D61" s="75" t="s">
        <v>143</v>
      </c>
      <c r="E61" s="75" t="s">
        <v>153</v>
      </c>
      <c r="I61" s="102">
        <v>32</v>
      </c>
      <c r="J61" s="75">
        <v>40</v>
      </c>
      <c r="K61" s="75" t="s">
        <v>164</v>
      </c>
      <c r="L61" s="75" t="s">
        <v>174</v>
      </c>
    </row>
    <row r="62" spans="2:12" x14ac:dyDescent="0.2">
      <c r="B62" s="102" t="s">
        <v>122</v>
      </c>
      <c r="C62" s="75" t="s">
        <v>134</v>
      </c>
      <c r="D62" s="75" t="s">
        <v>144</v>
      </c>
      <c r="E62" s="75" t="s">
        <v>154</v>
      </c>
      <c r="I62" s="102">
        <v>35</v>
      </c>
      <c r="J62" s="75">
        <v>43</v>
      </c>
      <c r="K62" s="75" t="s">
        <v>165</v>
      </c>
      <c r="L62" s="75" t="s">
        <v>175</v>
      </c>
    </row>
    <row r="63" spans="2:12" x14ac:dyDescent="0.2">
      <c r="B63" s="102" t="s">
        <v>123</v>
      </c>
      <c r="C63" s="75" t="s">
        <v>135</v>
      </c>
      <c r="D63" s="75" t="s">
        <v>145</v>
      </c>
      <c r="E63" s="75" t="s">
        <v>155</v>
      </c>
      <c r="I63" s="102">
        <v>38</v>
      </c>
      <c r="J63" s="75">
        <v>46</v>
      </c>
      <c r="K63" s="75" t="s">
        <v>166</v>
      </c>
      <c r="L63" s="75" t="s">
        <v>176</v>
      </c>
    </row>
    <row r="64" spans="2:12" x14ac:dyDescent="0.2">
      <c r="B64" s="102" t="s">
        <v>124</v>
      </c>
      <c r="C64" s="75" t="s">
        <v>136</v>
      </c>
      <c r="D64" s="75" t="s">
        <v>146</v>
      </c>
      <c r="E64" s="75" t="s">
        <v>178</v>
      </c>
      <c r="I64" s="102" t="s">
        <v>156</v>
      </c>
      <c r="J64" s="75" t="s">
        <v>157</v>
      </c>
      <c r="K64" s="75" t="s">
        <v>167</v>
      </c>
      <c r="L64" s="75" t="s">
        <v>177</v>
      </c>
    </row>
    <row r="67" spans="2:12" ht="15" x14ac:dyDescent="0.2">
      <c r="B67" s="945" t="s">
        <v>180</v>
      </c>
    </row>
    <row r="68" spans="2:12" x14ac:dyDescent="0.2">
      <c r="B68" t="s">
        <v>181</v>
      </c>
    </row>
    <row r="69" spans="2:12" x14ac:dyDescent="0.2">
      <c r="B69" t="s">
        <v>182</v>
      </c>
    </row>
    <row r="71" spans="2:12" ht="15" x14ac:dyDescent="0.2">
      <c r="B71" s="945" t="s">
        <v>184</v>
      </c>
      <c r="I71" s="945" t="s">
        <v>271</v>
      </c>
    </row>
    <row r="72" spans="2:12" x14ac:dyDescent="0.2">
      <c r="B72" s="17" t="s">
        <v>183</v>
      </c>
      <c r="I72" s="17" t="s">
        <v>183</v>
      </c>
    </row>
    <row r="73" spans="2:12" ht="13.5" thickBot="1" x14ac:dyDescent="0.25"/>
    <row r="74" spans="2:12" ht="16.5" thickTop="1" x14ac:dyDescent="0.25">
      <c r="B74" s="947" t="s">
        <v>1481</v>
      </c>
      <c r="C74" s="947" t="s">
        <v>187</v>
      </c>
      <c r="D74" s="954" t="s">
        <v>193</v>
      </c>
      <c r="E74" s="897"/>
      <c r="I74" s="947" t="s">
        <v>1481</v>
      </c>
      <c r="J74" s="947" t="s">
        <v>187</v>
      </c>
      <c r="K74" s="954" t="s">
        <v>193</v>
      </c>
      <c r="L74" s="897"/>
    </row>
    <row r="75" spans="2:12" ht="15.75" x14ac:dyDescent="0.25">
      <c r="B75" s="948" t="s">
        <v>1101</v>
      </c>
      <c r="C75" s="948" t="s">
        <v>188</v>
      </c>
      <c r="D75" s="952" t="s">
        <v>194</v>
      </c>
      <c r="E75" s="899"/>
      <c r="I75" s="948" t="s">
        <v>1101</v>
      </c>
      <c r="J75" s="948" t="s">
        <v>188</v>
      </c>
      <c r="K75" s="952" t="s">
        <v>194</v>
      </c>
      <c r="L75" s="899"/>
    </row>
    <row r="76" spans="2:12" ht="16.5" thickBot="1" x14ac:dyDescent="0.3">
      <c r="B76" s="949" t="s">
        <v>894</v>
      </c>
      <c r="C76" s="949" t="s">
        <v>186</v>
      </c>
      <c r="D76" s="953" t="s">
        <v>195</v>
      </c>
      <c r="E76" s="906"/>
      <c r="I76" s="949" t="s">
        <v>894</v>
      </c>
      <c r="J76" s="949" t="s">
        <v>186</v>
      </c>
      <c r="K76" s="953" t="s">
        <v>195</v>
      </c>
      <c r="L76" s="906"/>
    </row>
    <row r="77" spans="2:12" ht="13.5" thickTop="1" x14ac:dyDescent="0.2">
      <c r="B77" s="951" t="s">
        <v>115</v>
      </c>
      <c r="C77" s="950" t="s">
        <v>118</v>
      </c>
      <c r="D77" s="957" t="s">
        <v>117</v>
      </c>
      <c r="E77" s="955"/>
      <c r="I77" s="1026">
        <f>0.5*25.4</f>
        <v>12.7</v>
      </c>
      <c r="J77" s="1028">
        <f>0.875*25.4</f>
        <v>22.224999999999998</v>
      </c>
      <c r="K77" s="1030">
        <f>0.75*25.4</f>
        <v>19.049999999999997</v>
      </c>
      <c r="L77" s="955"/>
    </row>
    <row r="78" spans="2:12" x14ac:dyDescent="0.2">
      <c r="B78" s="102" t="s">
        <v>116</v>
      </c>
      <c r="C78" s="75" t="s">
        <v>120</v>
      </c>
      <c r="D78" s="958" t="s">
        <v>118</v>
      </c>
      <c r="E78" s="956"/>
      <c r="I78" s="1027">
        <f>0.625*25.4</f>
        <v>15.875</v>
      </c>
      <c r="J78" s="1029">
        <f>1.125*25.4</f>
        <v>28.574999999999999</v>
      </c>
      <c r="K78" s="1031">
        <f>0.875*25.4</f>
        <v>22.224999999999998</v>
      </c>
      <c r="L78" s="956"/>
    </row>
    <row r="79" spans="2:12" x14ac:dyDescent="0.2">
      <c r="B79" s="102" t="s">
        <v>117</v>
      </c>
      <c r="C79" s="75" t="s">
        <v>121</v>
      </c>
      <c r="D79" s="958" t="s">
        <v>119</v>
      </c>
      <c r="E79" s="956"/>
      <c r="I79" s="1027">
        <f>0.75*25.4</f>
        <v>19.049999999999997</v>
      </c>
      <c r="J79" s="1029">
        <f>1.25*25.4</f>
        <v>31.75</v>
      </c>
      <c r="K79" s="1031">
        <v>25</v>
      </c>
      <c r="L79" s="956"/>
    </row>
    <row r="80" spans="2:12" ht="15.75" x14ac:dyDescent="0.25">
      <c r="B80" s="102" t="s">
        <v>118</v>
      </c>
      <c r="C80" s="75" t="s">
        <v>192</v>
      </c>
      <c r="D80" s="958" t="s">
        <v>120</v>
      </c>
      <c r="E80" s="956"/>
      <c r="I80" s="1027">
        <f>0.875*25.4</f>
        <v>22.224999999999998</v>
      </c>
      <c r="J80" s="1029">
        <f>1.5*25.4</f>
        <v>38.099999999999994</v>
      </c>
      <c r="K80" s="1031">
        <f>1.125*25.4</f>
        <v>28.574999999999999</v>
      </c>
      <c r="L80" s="956"/>
    </row>
    <row r="81" spans="2:12" ht="15.75" x14ac:dyDescent="0.25">
      <c r="B81" s="102" t="s">
        <v>119</v>
      </c>
      <c r="C81" s="75" t="s">
        <v>191</v>
      </c>
      <c r="D81" s="958" t="s">
        <v>121</v>
      </c>
      <c r="E81" s="956"/>
      <c r="I81" s="1027">
        <v>25</v>
      </c>
      <c r="J81" s="1029">
        <f>1.75*25.4</f>
        <v>44.449999999999996</v>
      </c>
      <c r="K81" s="1031">
        <f>1.25*25.4</f>
        <v>31.75</v>
      </c>
      <c r="L81" s="956"/>
    </row>
    <row r="82" spans="2:12" x14ac:dyDescent="0.2">
      <c r="B82" s="102" t="s">
        <v>120</v>
      </c>
      <c r="C82" s="75" t="s">
        <v>189</v>
      </c>
      <c r="D82" s="958" t="s">
        <v>123</v>
      </c>
      <c r="E82" s="956"/>
      <c r="I82" s="1027">
        <f>1.125*25.4</f>
        <v>28.574999999999999</v>
      </c>
      <c r="J82" s="1029">
        <f>2*25.4</f>
        <v>50.8</v>
      </c>
      <c r="K82" s="1031">
        <f>1.5*25.4</f>
        <v>38.099999999999994</v>
      </c>
      <c r="L82" s="956"/>
    </row>
    <row r="83" spans="2:12" x14ac:dyDescent="0.2">
      <c r="B83" s="102" t="s">
        <v>121</v>
      </c>
      <c r="C83" s="75" t="s">
        <v>190</v>
      </c>
      <c r="D83" s="958" t="s">
        <v>196</v>
      </c>
      <c r="E83" s="956"/>
      <c r="I83" s="1027">
        <f>1.25*25.4</f>
        <v>31.75</v>
      </c>
      <c r="J83" s="1029">
        <f>2.25*25.4</f>
        <v>57.15</v>
      </c>
      <c r="K83" s="1031">
        <f>1.625*25.4</f>
        <v>41.274999999999999</v>
      </c>
      <c r="L83" s="956"/>
    </row>
    <row r="84" spans="2:12" x14ac:dyDescent="0.2">
      <c r="B84" s="102" t="s">
        <v>185</v>
      </c>
      <c r="C84" s="75" t="s">
        <v>261</v>
      </c>
      <c r="D84" s="958" t="s">
        <v>262</v>
      </c>
      <c r="E84" s="956"/>
      <c r="I84" s="102" t="s">
        <v>260</v>
      </c>
      <c r="J84" s="75" t="s">
        <v>261</v>
      </c>
      <c r="K84" s="958" t="s">
        <v>262</v>
      </c>
      <c r="L84" s="956"/>
    </row>
    <row r="85" spans="2:12" x14ac:dyDescent="0.2">
      <c r="B85" s="235" t="s">
        <v>197</v>
      </c>
      <c r="I85" s="235" t="s">
        <v>263</v>
      </c>
    </row>
    <row r="86" spans="2:12" x14ac:dyDescent="0.2">
      <c r="B86" s="235"/>
      <c r="I86" s="235"/>
    </row>
    <row r="87" spans="2:12" x14ac:dyDescent="0.2">
      <c r="B87" s="235"/>
      <c r="I87" s="235"/>
    </row>
    <row r="88" spans="2:12" x14ac:dyDescent="0.2">
      <c r="B88" s="235"/>
      <c r="I88" s="235"/>
    </row>
    <row r="89" spans="2:12" ht="13.5" thickBot="1" x14ac:dyDescent="0.25">
      <c r="B89" s="235"/>
      <c r="C89" s="1041"/>
      <c r="D89" s="1041"/>
      <c r="E89" s="1041"/>
      <c r="F89" s="863"/>
      <c r="G89" s="863"/>
      <c r="I89" s="235"/>
    </row>
    <row r="90" spans="2:12" ht="13.5" thickTop="1" x14ac:dyDescent="0.2">
      <c r="B90" s="235"/>
      <c r="H90" s="1040"/>
      <c r="I90" s="235"/>
    </row>
    <row r="91" spans="2:12" x14ac:dyDescent="0.2">
      <c r="B91" s="235"/>
      <c r="H91" s="1040"/>
      <c r="I91" s="235"/>
    </row>
    <row r="92" spans="2:12" x14ac:dyDescent="0.2">
      <c r="B92" s="235"/>
      <c r="H92" s="1040"/>
      <c r="I92" s="235"/>
    </row>
    <row r="93" spans="2:12" x14ac:dyDescent="0.2">
      <c r="B93" s="235"/>
      <c r="H93" s="1040"/>
      <c r="I93" s="235"/>
    </row>
    <row r="94" spans="2:12" x14ac:dyDescent="0.2">
      <c r="B94" s="235"/>
      <c r="H94" s="1040"/>
      <c r="I94" s="235"/>
    </row>
    <row r="95" spans="2:12" x14ac:dyDescent="0.2">
      <c r="B95" s="235"/>
      <c r="H95" s="1040"/>
      <c r="I95" s="235"/>
    </row>
    <row r="96" spans="2:12" x14ac:dyDescent="0.2">
      <c r="B96" s="235"/>
      <c r="H96" s="1040"/>
      <c r="I96" s="235"/>
    </row>
    <row r="97" spans="2:12" x14ac:dyDescent="0.2">
      <c r="B97" s="235"/>
      <c r="H97" s="1040"/>
      <c r="I97" s="235"/>
    </row>
    <row r="98" spans="2:12" x14ac:dyDescent="0.2">
      <c r="B98" s="235"/>
      <c r="H98" s="1040"/>
      <c r="I98" s="235"/>
    </row>
    <row r="99" spans="2:12" x14ac:dyDescent="0.2">
      <c r="B99" s="235"/>
      <c r="H99" s="1040"/>
      <c r="I99" s="235"/>
    </row>
    <row r="100" spans="2:12" x14ac:dyDescent="0.2">
      <c r="B100" s="235"/>
      <c r="H100" s="1040"/>
      <c r="I100" s="235"/>
    </row>
    <row r="101" spans="2:12" x14ac:dyDescent="0.2">
      <c r="B101" s="235"/>
      <c r="I101" s="235"/>
    </row>
    <row r="102" spans="2:12" x14ac:dyDescent="0.2">
      <c r="B102" s="235"/>
      <c r="I102" s="235"/>
      <c r="L102" s="17"/>
    </row>
    <row r="103" spans="2:12" ht="13.5" thickBot="1" x14ac:dyDescent="0.25">
      <c r="B103" s="235"/>
      <c r="I103" s="235"/>
      <c r="L103" s="17"/>
    </row>
    <row r="104" spans="2:12" ht="13.5" thickTop="1" x14ac:dyDescent="0.2">
      <c r="B104" s="1042"/>
      <c r="C104" s="895"/>
      <c r="D104" s="896"/>
      <c r="E104" s="897"/>
      <c r="H104" s="895"/>
      <c r="I104" s="1044"/>
      <c r="J104" s="897"/>
      <c r="L104" s="17"/>
    </row>
    <row r="105" spans="2:12" ht="15.75" x14ac:dyDescent="0.25">
      <c r="B105" s="1043" t="s">
        <v>1101</v>
      </c>
      <c r="C105" s="898"/>
      <c r="D105" s="350"/>
      <c r="E105" s="899"/>
      <c r="H105" s="898"/>
      <c r="I105" s="1045"/>
      <c r="J105" s="899"/>
      <c r="L105" s="17"/>
    </row>
    <row r="106" spans="2:12" ht="16.5" thickBot="1" x14ac:dyDescent="0.3">
      <c r="B106" s="1043" t="s">
        <v>894</v>
      </c>
      <c r="C106" s="898"/>
      <c r="D106" s="464" t="s">
        <v>349</v>
      </c>
      <c r="E106" s="899"/>
      <c r="H106" s="898"/>
      <c r="I106" s="464" t="s">
        <v>349</v>
      </c>
      <c r="J106" s="899"/>
    </row>
    <row r="107" spans="2:12" ht="17.25" thickTop="1" thickBot="1" x14ac:dyDescent="0.3">
      <c r="B107" s="1096" t="s">
        <v>442</v>
      </c>
      <c r="C107" s="1046" t="s">
        <v>1872</v>
      </c>
      <c r="D107" s="1046" t="s">
        <v>1873</v>
      </c>
      <c r="E107" s="1046" t="s">
        <v>1779</v>
      </c>
      <c r="F107" s="1046"/>
      <c r="G107" s="1046"/>
      <c r="H107" s="1046" t="s">
        <v>1872</v>
      </c>
      <c r="I107" s="1046" t="s">
        <v>1873</v>
      </c>
      <c r="J107" s="1046" t="s">
        <v>1779</v>
      </c>
    </row>
    <row r="108" spans="2:12" ht="13.5" thickTop="1" x14ac:dyDescent="0.2">
      <c r="B108" s="1095" t="s">
        <v>441</v>
      </c>
      <c r="C108" s="1047" t="s">
        <v>353</v>
      </c>
      <c r="D108" s="950" t="s">
        <v>352</v>
      </c>
      <c r="E108" s="950" t="s">
        <v>352</v>
      </c>
      <c r="F108" s="950"/>
      <c r="G108" s="950"/>
      <c r="H108" s="75" t="s">
        <v>354</v>
      </c>
      <c r="I108" s="75" t="s">
        <v>405</v>
      </c>
      <c r="J108" s="950" t="s">
        <v>409</v>
      </c>
    </row>
    <row r="109" spans="2:12" x14ac:dyDescent="0.2">
      <c r="B109" s="58" t="s">
        <v>350</v>
      </c>
      <c r="C109" s="998" t="s">
        <v>395</v>
      </c>
      <c r="D109" s="75" t="s">
        <v>353</v>
      </c>
      <c r="E109" s="75" t="s">
        <v>353</v>
      </c>
      <c r="F109" s="75"/>
      <c r="G109" s="75"/>
      <c r="H109" s="75" t="s">
        <v>396</v>
      </c>
      <c r="I109" s="75" t="s">
        <v>395</v>
      </c>
      <c r="J109" s="75" t="s">
        <v>353</v>
      </c>
      <c r="K109" s="1091"/>
    </row>
    <row r="110" spans="2:12" x14ac:dyDescent="0.2">
      <c r="B110" s="169" t="s">
        <v>352</v>
      </c>
      <c r="C110" s="998" t="s">
        <v>396</v>
      </c>
      <c r="D110" s="75" t="s">
        <v>405</v>
      </c>
      <c r="E110" s="75" t="s">
        <v>405</v>
      </c>
      <c r="F110" s="75"/>
      <c r="G110" s="75"/>
      <c r="H110" s="75" t="s">
        <v>408</v>
      </c>
      <c r="I110" s="75" t="s">
        <v>396</v>
      </c>
      <c r="J110" s="75" t="s">
        <v>405</v>
      </c>
    </row>
    <row r="111" spans="2:12" x14ac:dyDescent="0.2">
      <c r="B111" s="58" t="s">
        <v>409</v>
      </c>
      <c r="C111" s="998" t="s">
        <v>397</v>
      </c>
      <c r="D111" s="75" t="s">
        <v>354</v>
      </c>
      <c r="E111" s="75" t="s">
        <v>354</v>
      </c>
      <c r="F111" s="75"/>
      <c r="G111" s="75"/>
      <c r="H111" s="75" t="s">
        <v>399</v>
      </c>
      <c r="I111" s="75" t="s">
        <v>407</v>
      </c>
      <c r="J111" s="75" t="s">
        <v>395</v>
      </c>
    </row>
    <row r="112" spans="2:12" x14ac:dyDescent="0.2">
      <c r="B112" s="58" t="s">
        <v>353</v>
      </c>
      <c r="C112" s="1093" t="s">
        <v>398</v>
      </c>
      <c r="D112" s="75" t="s">
        <v>395</v>
      </c>
      <c r="E112" s="75" t="s">
        <v>395</v>
      </c>
      <c r="F112" s="75"/>
      <c r="G112" s="75"/>
      <c r="H112" s="75" t="s">
        <v>401</v>
      </c>
      <c r="I112" s="75" t="s">
        <v>415</v>
      </c>
      <c r="J112" s="75" t="s">
        <v>406</v>
      </c>
    </row>
    <row r="113" spans="2:10" x14ac:dyDescent="0.2">
      <c r="B113" s="58" t="s">
        <v>405</v>
      </c>
      <c r="C113" s="998" t="s">
        <v>399</v>
      </c>
      <c r="D113" s="75" t="s">
        <v>406</v>
      </c>
      <c r="E113" s="75" t="s">
        <v>406</v>
      </c>
      <c r="F113" s="75"/>
      <c r="G113" s="75"/>
      <c r="H113" s="75" t="s">
        <v>410</v>
      </c>
      <c r="I113" s="75" t="s">
        <v>398</v>
      </c>
      <c r="J113" s="75" t="s">
        <v>415</v>
      </c>
    </row>
    <row r="114" spans="2:10" x14ac:dyDescent="0.2">
      <c r="B114" s="58" t="s">
        <v>354</v>
      </c>
      <c r="C114" s="998" t="s">
        <v>400</v>
      </c>
      <c r="D114" s="75" t="s">
        <v>396</v>
      </c>
      <c r="E114" s="75" t="s">
        <v>396</v>
      </c>
      <c r="F114" s="75"/>
      <c r="G114" s="75"/>
      <c r="H114" s="75" t="s">
        <v>411</v>
      </c>
      <c r="I114" s="75" t="s">
        <v>399</v>
      </c>
      <c r="J114" s="75" t="s">
        <v>398</v>
      </c>
    </row>
    <row r="115" spans="2:10" x14ac:dyDescent="0.2">
      <c r="B115" s="58" t="s">
        <v>395</v>
      </c>
      <c r="C115" s="998" t="s">
        <v>401</v>
      </c>
      <c r="D115" s="75" t="s">
        <v>407</v>
      </c>
      <c r="E115" s="75" t="s">
        <v>407</v>
      </c>
      <c r="F115" s="75"/>
      <c r="G115" s="75"/>
      <c r="H115" s="75" t="s">
        <v>404</v>
      </c>
      <c r="I115" s="75" t="s">
        <v>416</v>
      </c>
      <c r="J115" s="75" t="s">
        <v>398</v>
      </c>
    </row>
    <row r="116" spans="2:10" x14ac:dyDescent="0.2">
      <c r="B116" s="58" t="s">
        <v>406</v>
      </c>
      <c r="C116" s="998" t="s">
        <v>402</v>
      </c>
      <c r="D116" s="75" t="s">
        <v>397</v>
      </c>
      <c r="E116" s="75" t="s">
        <v>397</v>
      </c>
      <c r="F116" s="75"/>
      <c r="G116" s="75"/>
      <c r="H116" s="75" t="s">
        <v>412</v>
      </c>
      <c r="I116" s="75" t="s">
        <v>417</v>
      </c>
      <c r="J116" s="75" t="s">
        <v>419</v>
      </c>
    </row>
    <row r="117" spans="2:10" x14ac:dyDescent="0.2">
      <c r="B117" s="58" t="s">
        <v>396</v>
      </c>
      <c r="C117" s="998" t="s">
        <v>403</v>
      </c>
      <c r="D117" s="75" t="s">
        <v>408</v>
      </c>
      <c r="E117" s="75" t="s">
        <v>408</v>
      </c>
      <c r="F117" s="75"/>
      <c r="G117" s="75"/>
      <c r="H117" s="75" t="s">
        <v>413</v>
      </c>
      <c r="I117" s="75" t="s">
        <v>418</v>
      </c>
      <c r="J117" s="75" t="s">
        <v>416</v>
      </c>
    </row>
    <row r="118" spans="2:10" x14ac:dyDescent="0.2">
      <c r="B118" s="58" t="s">
        <v>407</v>
      </c>
      <c r="C118" s="998" t="s">
        <v>404</v>
      </c>
      <c r="D118" s="75" t="s">
        <v>398</v>
      </c>
      <c r="E118" s="75" t="s">
        <v>398</v>
      </c>
      <c r="F118" s="75"/>
      <c r="G118" s="75"/>
      <c r="H118" s="75" t="s">
        <v>414</v>
      </c>
      <c r="I118" s="75" t="s">
        <v>402</v>
      </c>
      <c r="J118" s="75" t="s">
        <v>417</v>
      </c>
    </row>
    <row r="120" spans="2:10" x14ac:dyDescent="0.2">
      <c r="C120" s="1003"/>
    </row>
    <row r="123" spans="2:10" x14ac:dyDescent="0.2">
      <c r="I123" s="1003"/>
    </row>
    <row r="126" spans="2:10" ht="13.5" thickBot="1" x14ac:dyDescent="0.25"/>
    <row r="127" spans="2:10" ht="13.5" thickTop="1" x14ac:dyDescent="0.2">
      <c r="B127" s="976"/>
      <c r="C127" s="977" t="s">
        <v>228</v>
      </c>
      <c r="D127" s="978"/>
      <c r="E127" s="979"/>
      <c r="F127" s="980"/>
      <c r="G127" s="980"/>
      <c r="H127" s="977" t="s">
        <v>232</v>
      </c>
      <c r="I127" s="979"/>
    </row>
    <row r="128" spans="2:10" ht="16.5" thickBot="1" x14ac:dyDescent="0.3">
      <c r="B128" s="970" t="s">
        <v>1481</v>
      </c>
      <c r="C128" s="981" t="s">
        <v>229</v>
      </c>
      <c r="D128" s="982"/>
      <c r="E128" s="983"/>
      <c r="F128" s="980"/>
      <c r="G128" s="980"/>
      <c r="H128" s="981" t="s">
        <v>230</v>
      </c>
      <c r="I128" s="983"/>
    </row>
    <row r="129" spans="2:9" ht="16.5" thickTop="1" x14ac:dyDescent="0.25">
      <c r="B129" s="970" t="s">
        <v>224</v>
      </c>
      <c r="C129" s="984" t="s">
        <v>225</v>
      </c>
      <c r="D129" s="984" t="s">
        <v>226</v>
      </c>
      <c r="E129" s="984" t="s">
        <v>217</v>
      </c>
      <c r="F129" s="980"/>
      <c r="G129" s="980"/>
      <c r="H129" s="984" t="s">
        <v>225</v>
      </c>
      <c r="I129" s="984" t="s">
        <v>226</v>
      </c>
    </row>
    <row r="130" spans="2:9" ht="16.5" thickBot="1" x14ac:dyDescent="0.3">
      <c r="B130" s="971" t="s">
        <v>1769</v>
      </c>
      <c r="C130" s="985" t="s">
        <v>227</v>
      </c>
      <c r="D130" s="986" t="s">
        <v>1895</v>
      </c>
      <c r="E130" s="986" t="s">
        <v>1831</v>
      </c>
      <c r="F130" s="980"/>
      <c r="G130" s="980"/>
      <c r="H130" s="985" t="s">
        <v>231</v>
      </c>
      <c r="I130" s="986" t="s">
        <v>1895</v>
      </c>
    </row>
    <row r="131" spans="2:9" ht="13.5" thickTop="1" x14ac:dyDescent="0.2">
      <c r="B131" s="1057" t="s">
        <v>352</v>
      </c>
      <c r="C131" s="82" t="s">
        <v>405</v>
      </c>
      <c r="D131" s="82" t="s">
        <v>424</v>
      </c>
      <c r="E131" s="82" t="s">
        <v>354</v>
      </c>
      <c r="F131" s="82"/>
      <c r="G131" s="82"/>
      <c r="H131" s="82" t="s">
        <v>405</v>
      </c>
      <c r="I131" s="82" t="s">
        <v>433</v>
      </c>
    </row>
    <row r="132" spans="2:9" x14ac:dyDescent="0.2">
      <c r="B132" s="415" t="s">
        <v>409</v>
      </c>
      <c r="C132" s="75" t="s">
        <v>420</v>
      </c>
      <c r="D132" s="75" t="s">
        <v>425</v>
      </c>
      <c r="E132" s="75" t="s">
        <v>406</v>
      </c>
      <c r="F132" s="75"/>
      <c r="G132" s="75"/>
      <c r="H132" s="75" t="s">
        <v>420</v>
      </c>
      <c r="I132" s="75" t="s">
        <v>428</v>
      </c>
    </row>
    <row r="133" spans="2:9" x14ac:dyDescent="0.2">
      <c r="B133" s="415" t="s">
        <v>353</v>
      </c>
      <c r="C133" s="75" t="s">
        <v>406</v>
      </c>
      <c r="D133" s="75" t="s">
        <v>426</v>
      </c>
      <c r="E133" s="75" t="s">
        <v>396</v>
      </c>
      <c r="F133" s="75"/>
      <c r="G133" s="75"/>
      <c r="H133" s="75" t="s">
        <v>406</v>
      </c>
      <c r="I133" s="75" t="s">
        <v>434</v>
      </c>
    </row>
    <row r="134" spans="2:9" x14ac:dyDescent="0.2">
      <c r="B134" s="415" t="s">
        <v>405</v>
      </c>
      <c r="C134" s="75" t="s">
        <v>421</v>
      </c>
      <c r="D134" s="75" t="s">
        <v>427</v>
      </c>
      <c r="E134" s="75" t="s">
        <v>407</v>
      </c>
      <c r="F134" s="75"/>
      <c r="G134" s="75"/>
      <c r="H134" s="75" t="s">
        <v>421</v>
      </c>
      <c r="I134" s="75" t="s">
        <v>435</v>
      </c>
    </row>
    <row r="135" spans="2:9" x14ac:dyDescent="0.2">
      <c r="B135" s="1094"/>
      <c r="C135" s="987"/>
      <c r="D135" s="987"/>
      <c r="E135" s="987"/>
      <c r="F135" s="987"/>
      <c r="G135" s="987"/>
      <c r="H135" s="987"/>
      <c r="I135" s="987"/>
    </row>
    <row r="136" spans="2:9" x14ac:dyDescent="0.2">
      <c r="B136" s="415" t="s">
        <v>354</v>
      </c>
      <c r="C136" s="75" t="s">
        <v>397</v>
      </c>
      <c r="D136" s="75" t="s">
        <v>428</v>
      </c>
      <c r="E136" s="75" t="s">
        <v>408</v>
      </c>
      <c r="F136" s="75"/>
      <c r="G136" s="75"/>
      <c r="H136" s="75" t="s">
        <v>397</v>
      </c>
      <c r="I136" s="75" t="s">
        <v>436</v>
      </c>
    </row>
    <row r="137" spans="2:9" x14ac:dyDescent="0.2">
      <c r="B137" s="415" t="s">
        <v>395</v>
      </c>
      <c r="C137" s="75" t="s">
        <v>422</v>
      </c>
      <c r="D137" s="75" t="s">
        <v>429</v>
      </c>
      <c r="E137" s="75" t="s">
        <v>419</v>
      </c>
      <c r="F137" s="75"/>
      <c r="G137" s="75"/>
      <c r="H137" s="75" t="s">
        <v>422</v>
      </c>
      <c r="I137" s="988" t="s">
        <v>437</v>
      </c>
    </row>
    <row r="138" spans="2:9" x14ac:dyDescent="0.2">
      <c r="B138" s="415" t="s">
        <v>406</v>
      </c>
      <c r="C138" s="75" t="s">
        <v>419</v>
      </c>
      <c r="D138" s="75" t="s">
        <v>430</v>
      </c>
      <c r="E138" s="75" t="s">
        <v>419</v>
      </c>
      <c r="F138" s="75"/>
      <c r="G138" s="75"/>
      <c r="H138" s="75" t="s">
        <v>419</v>
      </c>
      <c r="I138" s="75" t="s">
        <v>438</v>
      </c>
    </row>
    <row r="139" spans="2:9" x14ac:dyDescent="0.2">
      <c r="B139" s="415" t="s">
        <v>396</v>
      </c>
      <c r="C139" s="75" t="s">
        <v>423</v>
      </c>
      <c r="D139" s="75" t="s">
        <v>431</v>
      </c>
      <c r="E139" s="75" t="s">
        <v>416</v>
      </c>
      <c r="F139" s="75"/>
      <c r="G139" s="75"/>
      <c r="H139" s="75" t="s">
        <v>423</v>
      </c>
      <c r="I139" s="75" t="s">
        <v>439</v>
      </c>
    </row>
    <row r="140" spans="2:9" x14ac:dyDescent="0.2">
      <c r="B140" s="1094"/>
      <c r="C140" s="987"/>
      <c r="D140" s="987"/>
      <c r="E140" s="987"/>
      <c r="F140" s="987"/>
      <c r="G140" s="987"/>
      <c r="H140" s="987"/>
      <c r="I140" s="987"/>
    </row>
    <row r="141" spans="2:9" x14ac:dyDescent="0.2">
      <c r="B141" s="415" t="s">
        <v>407</v>
      </c>
      <c r="C141" s="75" t="s">
        <v>400</v>
      </c>
      <c r="D141" s="75" t="s">
        <v>432</v>
      </c>
      <c r="E141" s="75" t="s">
        <v>416</v>
      </c>
      <c r="F141" s="75"/>
      <c r="G141" s="75"/>
      <c r="H141" s="75" t="s">
        <v>400</v>
      </c>
      <c r="I141" s="75" t="s">
        <v>440</v>
      </c>
    </row>
    <row r="142" spans="2:9" x14ac:dyDescent="0.2">
      <c r="B142" s="989"/>
      <c r="C142" s="464"/>
      <c r="D142" s="464"/>
      <c r="E142" s="464"/>
      <c r="F142" s="464"/>
      <c r="G142" s="464"/>
      <c r="H142" s="464"/>
      <c r="I142" s="464"/>
    </row>
    <row r="144" spans="2:9" ht="13.5" thickBot="1" x14ac:dyDescent="0.25"/>
    <row r="145" spans="2:11" ht="17.25" thickTop="1" thickBot="1" x14ac:dyDescent="0.3">
      <c r="B145" s="976"/>
      <c r="C145" s="924" t="s">
        <v>237</v>
      </c>
      <c r="D145" s="915"/>
      <c r="E145" s="915"/>
      <c r="F145" s="915"/>
      <c r="G145" s="915"/>
      <c r="H145" s="925"/>
      <c r="I145" s="994" t="s">
        <v>245</v>
      </c>
      <c r="J145" s="915"/>
      <c r="K145" s="925"/>
    </row>
    <row r="146" spans="2:11" ht="16.5" thickTop="1" x14ac:dyDescent="0.25">
      <c r="B146" s="970" t="s">
        <v>1481</v>
      </c>
      <c r="C146" s="973" t="s">
        <v>1481</v>
      </c>
      <c r="D146" s="973" t="s">
        <v>1481</v>
      </c>
      <c r="E146" s="993" t="s">
        <v>235</v>
      </c>
      <c r="F146" s="896"/>
      <c r="G146" s="896"/>
      <c r="H146" s="897"/>
      <c r="I146" s="973" t="s">
        <v>242</v>
      </c>
      <c r="K146" s="990" t="s">
        <v>239</v>
      </c>
    </row>
    <row r="147" spans="2:11" ht="16.5" thickBot="1" x14ac:dyDescent="0.3">
      <c r="B147" s="970" t="s">
        <v>224</v>
      </c>
      <c r="C147" s="990" t="s">
        <v>1535</v>
      </c>
      <c r="D147" s="990" t="s">
        <v>233</v>
      </c>
      <c r="E147" s="991"/>
      <c r="F147" s="904"/>
      <c r="G147" s="904"/>
      <c r="H147" s="906"/>
      <c r="I147" s="990" t="s">
        <v>243</v>
      </c>
      <c r="J147" s="990" t="s">
        <v>238</v>
      </c>
      <c r="K147" s="990" t="s">
        <v>240</v>
      </c>
    </row>
    <row r="148" spans="2:11" ht="17.25" thickTop="1" thickBot="1" x14ac:dyDescent="0.3">
      <c r="B148" s="971" t="s">
        <v>1769</v>
      </c>
      <c r="C148" s="975" t="s">
        <v>233</v>
      </c>
      <c r="D148" s="974" t="s">
        <v>236</v>
      </c>
      <c r="E148" s="992" t="s">
        <v>234</v>
      </c>
      <c r="F148" s="992"/>
      <c r="G148" s="992"/>
      <c r="H148" s="992" t="s">
        <v>1159</v>
      </c>
      <c r="I148" s="974" t="s">
        <v>244</v>
      </c>
      <c r="J148" s="974" t="s">
        <v>1539</v>
      </c>
      <c r="K148" s="974" t="s">
        <v>1539</v>
      </c>
    </row>
    <row r="149" spans="2:11" ht="13.5" thickTop="1" x14ac:dyDescent="0.2">
      <c r="B149" s="1057" t="s">
        <v>352</v>
      </c>
      <c r="C149" s="950" t="s">
        <v>420</v>
      </c>
      <c r="D149" s="950" t="s">
        <v>444</v>
      </c>
      <c r="E149" s="950" t="s">
        <v>446</v>
      </c>
      <c r="F149" s="950"/>
      <c r="G149" s="950"/>
      <c r="H149" s="1010" t="s">
        <v>447</v>
      </c>
      <c r="I149" s="997" t="s">
        <v>408</v>
      </c>
      <c r="J149" s="950" t="s">
        <v>424</v>
      </c>
      <c r="K149" s="999" t="s">
        <v>246</v>
      </c>
    </row>
    <row r="150" spans="2:11" x14ac:dyDescent="0.2">
      <c r="B150" s="415" t="s">
        <v>409</v>
      </c>
      <c r="C150" s="75" t="s">
        <v>443</v>
      </c>
      <c r="D150" s="75" t="s">
        <v>429</v>
      </c>
      <c r="E150" s="75" t="s">
        <v>448</v>
      </c>
      <c r="F150" s="75"/>
      <c r="G150" s="75"/>
      <c r="H150" s="995" t="s">
        <v>447</v>
      </c>
      <c r="I150" s="998" t="s">
        <v>408</v>
      </c>
      <c r="J150" s="75" t="s">
        <v>424</v>
      </c>
      <c r="K150" s="1001" t="s">
        <v>246</v>
      </c>
    </row>
    <row r="151" spans="2:11" x14ac:dyDescent="0.2">
      <c r="B151" s="415" t="s">
        <v>353</v>
      </c>
      <c r="C151" s="75" t="s">
        <v>440</v>
      </c>
      <c r="D151" s="75" t="s">
        <v>445</v>
      </c>
      <c r="E151" s="75" t="s">
        <v>448</v>
      </c>
      <c r="F151" s="75"/>
      <c r="G151" s="75"/>
      <c r="H151" s="995" t="s">
        <v>447</v>
      </c>
      <c r="I151" s="998" t="s">
        <v>408</v>
      </c>
      <c r="J151" s="75" t="s">
        <v>424</v>
      </c>
      <c r="K151" s="1001" t="s">
        <v>246</v>
      </c>
    </row>
    <row r="152" spans="2:11" x14ac:dyDescent="0.2">
      <c r="B152" s="415" t="s">
        <v>405</v>
      </c>
      <c r="C152" s="75" t="s">
        <v>408</v>
      </c>
      <c r="D152" s="75" t="s">
        <v>432</v>
      </c>
      <c r="E152" s="75" t="s">
        <v>449</v>
      </c>
      <c r="F152" s="75"/>
      <c r="G152" s="75"/>
      <c r="H152" s="995" t="s">
        <v>447</v>
      </c>
      <c r="I152" s="998" t="s">
        <v>408</v>
      </c>
      <c r="J152" s="75" t="s">
        <v>424</v>
      </c>
      <c r="K152" s="1000" t="s">
        <v>246</v>
      </c>
    </row>
    <row r="153" spans="2:11" x14ac:dyDescent="0.2">
      <c r="B153" s="1094"/>
      <c r="C153" s="79"/>
      <c r="D153" s="79"/>
      <c r="E153" s="79"/>
      <c r="F153" s="79"/>
      <c r="G153" s="79"/>
      <c r="H153" s="996"/>
      <c r="I153" s="81"/>
      <c r="J153" s="79"/>
      <c r="K153" s="79"/>
    </row>
    <row r="154" spans="2:11" x14ac:dyDescent="0.2">
      <c r="B154" s="415" t="s">
        <v>354</v>
      </c>
      <c r="C154" s="75" t="s">
        <v>419</v>
      </c>
      <c r="D154" s="75" t="s">
        <v>395</v>
      </c>
      <c r="E154" s="75" t="s">
        <v>449</v>
      </c>
      <c r="F154" s="75"/>
      <c r="G154" s="75"/>
      <c r="H154" s="995" t="s">
        <v>447</v>
      </c>
      <c r="I154" s="998" t="s">
        <v>408</v>
      </c>
      <c r="J154" s="75" t="s">
        <v>424</v>
      </c>
      <c r="K154" s="1001" t="s">
        <v>246</v>
      </c>
    </row>
    <row r="155" spans="2:11" x14ac:dyDescent="0.2">
      <c r="B155" s="415" t="s">
        <v>395</v>
      </c>
      <c r="C155" s="75" t="s">
        <v>416</v>
      </c>
      <c r="D155" s="75" t="s">
        <v>406</v>
      </c>
      <c r="E155" s="75" t="s">
        <v>449</v>
      </c>
      <c r="F155" s="75"/>
      <c r="G155" s="75"/>
      <c r="H155" s="995" t="s">
        <v>447</v>
      </c>
      <c r="I155" s="77" t="s">
        <v>416</v>
      </c>
      <c r="J155" s="75" t="s">
        <v>424</v>
      </c>
      <c r="K155" s="1001" t="s">
        <v>246</v>
      </c>
    </row>
    <row r="156" spans="2:11" x14ac:dyDescent="0.2">
      <c r="B156" s="415" t="s">
        <v>406</v>
      </c>
      <c r="C156" s="75" t="s">
        <v>417</v>
      </c>
      <c r="D156" s="75" t="s">
        <v>396</v>
      </c>
      <c r="E156" s="75" t="s">
        <v>449</v>
      </c>
      <c r="F156" s="75"/>
      <c r="G156" s="75"/>
      <c r="H156" s="995" t="s">
        <v>447</v>
      </c>
      <c r="I156" s="77" t="s">
        <v>416</v>
      </c>
      <c r="J156" s="75" t="s">
        <v>424</v>
      </c>
      <c r="K156" s="1001" t="s">
        <v>246</v>
      </c>
    </row>
    <row r="157" spans="2:11" x14ac:dyDescent="0.2">
      <c r="B157" s="415" t="s">
        <v>396</v>
      </c>
      <c r="C157" s="75" t="s">
        <v>418</v>
      </c>
      <c r="D157" s="75" t="s">
        <v>407</v>
      </c>
      <c r="E157" s="75" t="s">
        <v>449</v>
      </c>
      <c r="F157" s="75"/>
      <c r="G157" s="75"/>
      <c r="H157" s="995" t="s">
        <v>447</v>
      </c>
      <c r="I157" s="77" t="s">
        <v>416</v>
      </c>
      <c r="J157" s="75" t="s">
        <v>424</v>
      </c>
      <c r="K157" s="1001" t="s">
        <v>246</v>
      </c>
    </row>
    <row r="158" spans="2:11" x14ac:dyDescent="0.2">
      <c r="B158" s="1094"/>
      <c r="C158" s="79"/>
      <c r="D158" s="79"/>
      <c r="E158" s="79"/>
      <c r="F158" s="79"/>
      <c r="G158" s="79"/>
      <c r="H158" s="996"/>
      <c r="I158" s="81"/>
      <c r="J158" s="79"/>
      <c r="K158" s="79"/>
    </row>
    <row r="159" spans="2:11" x14ac:dyDescent="0.2">
      <c r="B159" s="415" t="s">
        <v>407</v>
      </c>
      <c r="C159" s="75" t="s">
        <v>410</v>
      </c>
      <c r="D159" s="75" t="s">
        <v>397</v>
      </c>
      <c r="E159" s="75" t="s">
        <v>449</v>
      </c>
      <c r="F159" s="75"/>
      <c r="G159" s="75"/>
      <c r="H159" s="995" t="s">
        <v>447</v>
      </c>
      <c r="I159" s="77" t="s">
        <v>416</v>
      </c>
      <c r="J159" s="75" t="s">
        <v>424</v>
      </c>
      <c r="K159" s="1001" t="s">
        <v>246</v>
      </c>
    </row>
    <row r="161" spans="2:15" ht="13.5" thickBot="1" x14ac:dyDescent="0.25"/>
    <row r="162" spans="2:15" ht="15.75" thickTop="1" x14ac:dyDescent="0.2">
      <c r="B162" s="973" t="s">
        <v>1831</v>
      </c>
      <c r="C162" s="896"/>
      <c r="D162" s="896"/>
      <c r="E162" s="1004" t="s">
        <v>252</v>
      </c>
      <c r="F162" s="896"/>
      <c r="G162" s="896"/>
      <c r="H162" s="896"/>
      <c r="I162" s="896"/>
      <c r="J162" s="896"/>
      <c r="K162" s="896"/>
      <c r="L162" s="896"/>
      <c r="M162" s="896"/>
      <c r="N162" s="896"/>
      <c r="O162" s="897"/>
    </row>
    <row r="163" spans="2:15" x14ac:dyDescent="0.2">
      <c r="B163" s="990" t="s">
        <v>250</v>
      </c>
      <c r="C163" s="350"/>
      <c r="D163" s="350"/>
      <c r="E163" s="350"/>
      <c r="F163" s="350"/>
      <c r="G163" s="350"/>
      <c r="H163" s="350"/>
      <c r="I163" s="350"/>
      <c r="J163" s="350"/>
      <c r="K163" s="350"/>
      <c r="L163" s="350"/>
      <c r="M163" s="350"/>
      <c r="N163" s="350"/>
      <c r="O163" s="899"/>
    </row>
    <row r="164" spans="2:15" ht="16.5" thickBot="1" x14ac:dyDescent="0.3">
      <c r="B164" s="990" t="s">
        <v>251</v>
      </c>
      <c r="C164" s="350"/>
      <c r="D164" s="1005"/>
      <c r="E164" s="1005" t="s">
        <v>450</v>
      </c>
      <c r="F164" s="350"/>
      <c r="G164" s="350"/>
      <c r="H164" s="350"/>
      <c r="I164" s="350"/>
      <c r="J164" s="350"/>
      <c r="K164" s="350"/>
      <c r="L164" s="350"/>
      <c r="M164" s="350"/>
      <c r="N164" s="350"/>
      <c r="O164" s="899"/>
    </row>
    <row r="165" spans="2:15" ht="14.25" thickTop="1" thickBot="1" x14ac:dyDescent="0.25">
      <c r="B165" s="1102" t="s">
        <v>442</v>
      </c>
      <c r="C165" s="1098" t="s">
        <v>352</v>
      </c>
      <c r="D165" s="1098" t="s">
        <v>409</v>
      </c>
      <c r="E165" s="1098" t="s">
        <v>353</v>
      </c>
      <c r="F165" s="1098"/>
      <c r="G165" s="1098"/>
      <c r="H165" s="1098" t="s">
        <v>405</v>
      </c>
      <c r="I165" s="1098" t="s">
        <v>354</v>
      </c>
      <c r="J165" s="1098" t="s">
        <v>395</v>
      </c>
      <c r="K165" s="1098" t="s">
        <v>406</v>
      </c>
      <c r="L165" s="1098" t="s">
        <v>396</v>
      </c>
      <c r="M165" s="1098"/>
      <c r="N165" s="1098"/>
      <c r="O165" s="1098" t="s">
        <v>407</v>
      </c>
    </row>
    <row r="166" spans="2:15" ht="13.5" thickTop="1" x14ac:dyDescent="0.2">
      <c r="B166" s="1099" t="s">
        <v>354</v>
      </c>
      <c r="C166" s="950" t="s">
        <v>464</v>
      </c>
      <c r="D166" s="950" t="s">
        <v>481</v>
      </c>
      <c r="E166" s="950" t="s">
        <v>502</v>
      </c>
      <c r="F166" s="950"/>
      <c r="G166" s="950"/>
      <c r="H166" s="1024"/>
      <c r="I166" s="1024"/>
      <c r="J166" s="1024"/>
      <c r="K166" s="1024"/>
      <c r="L166" s="1024"/>
      <c r="M166" s="1024"/>
      <c r="N166" s="1024"/>
      <c r="O166" s="1024"/>
    </row>
    <row r="167" spans="2:15" x14ac:dyDescent="0.2">
      <c r="B167" s="1100" t="s">
        <v>406</v>
      </c>
      <c r="C167" s="75" t="s">
        <v>462</v>
      </c>
      <c r="D167" s="75" t="s">
        <v>482</v>
      </c>
      <c r="E167" s="75" t="s">
        <v>503</v>
      </c>
      <c r="F167" s="75"/>
      <c r="G167" s="75"/>
      <c r="H167" s="75" t="s">
        <v>526</v>
      </c>
      <c r="I167" s="75" t="s">
        <v>547</v>
      </c>
      <c r="J167" s="1025"/>
      <c r="K167" s="1025"/>
      <c r="L167" s="1025"/>
      <c r="M167" s="1025"/>
      <c r="N167" s="1025"/>
      <c r="O167" s="1025"/>
    </row>
    <row r="168" spans="2:15" x14ac:dyDescent="0.2">
      <c r="B168" s="1100" t="s">
        <v>407</v>
      </c>
      <c r="C168" s="75" t="s">
        <v>463</v>
      </c>
      <c r="D168" s="75" t="s">
        <v>483</v>
      </c>
      <c r="E168" s="75" t="s">
        <v>504</v>
      </c>
      <c r="F168" s="75"/>
      <c r="G168" s="75"/>
      <c r="H168" s="75" t="s">
        <v>527</v>
      </c>
      <c r="I168" s="75" t="s">
        <v>548</v>
      </c>
      <c r="J168" s="75" t="s">
        <v>565</v>
      </c>
      <c r="K168" s="75" t="s">
        <v>586</v>
      </c>
      <c r="L168" s="1025"/>
      <c r="M168" s="1025"/>
      <c r="N168" s="1025"/>
      <c r="O168" s="1025"/>
    </row>
    <row r="169" spans="2:15" x14ac:dyDescent="0.2">
      <c r="B169" s="1100" t="s">
        <v>408</v>
      </c>
      <c r="C169" s="75" t="s">
        <v>465</v>
      </c>
      <c r="D169" s="75" t="s">
        <v>484</v>
      </c>
      <c r="E169" s="75" t="s">
        <v>505</v>
      </c>
      <c r="F169" s="75"/>
      <c r="G169" s="75"/>
      <c r="H169" s="75" t="s">
        <v>528</v>
      </c>
      <c r="I169" s="75" t="s">
        <v>549</v>
      </c>
      <c r="J169" s="75" t="s">
        <v>545</v>
      </c>
      <c r="K169" s="75" t="s">
        <v>587</v>
      </c>
      <c r="L169" s="75" t="s">
        <v>604</v>
      </c>
      <c r="M169" s="75"/>
      <c r="N169" s="75"/>
      <c r="O169" s="75" t="s">
        <v>622</v>
      </c>
    </row>
    <row r="170" spans="2:15" x14ac:dyDescent="0.2">
      <c r="B170" s="1100" t="s">
        <v>419</v>
      </c>
      <c r="C170" s="75" t="s">
        <v>466</v>
      </c>
      <c r="D170" s="75" t="s">
        <v>485</v>
      </c>
      <c r="E170" s="75" t="s">
        <v>506</v>
      </c>
      <c r="F170" s="75"/>
      <c r="G170" s="75"/>
      <c r="H170" s="75" t="s">
        <v>529</v>
      </c>
      <c r="I170" s="75" t="s">
        <v>550</v>
      </c>
      <c r="J170" s="75" t="s">
        <v>566</v>
      </c>
      <c r="K170" s="75" t="s">
        <v>588</v>
      </c>
      <c r="L170" s="75" t="s">
        <v>605</v>
      </c>
      <c r="M170" s="75"/>
      <c r="N170" s="75"/>
      <c r="O170" s="75" t="s">
        <v>623</v>
      </c>
    </row>
    <row r="171" spans="2:15" x14ac:dyDescent="0.2">
      <c r="B171" s="1100" t="s">
        <v>416</v>
      </c>
      <c r="C171" s="75" t="s">
        <v>467</v>
      </c>
      <c r="D171" s="75" t="s">
        <v>486</v>
      </c>
      <c r="E171" s="75" t="s">
        <v>507</v>
      </c>
      <c r="F171" s="75"/>
      <c r="G171" s="75"/>
      <c r="H171" s="75" t="s">
        <v>530</v>
      </c>
      <c r="I171" s="75" t="s">
        <v>538</v>
      </c>
      <c r="J171" s="75" t="s">
        <v>567</v>
      </c>
      <c r="K171" s="75" t="s">
        <v>589</v>
      </c>
      <c r="L171" s="75" t="s">
        <v>606</v>
      </c>
      <c r="M171" s="75"/>
      <c r="N171" s="75"/>
      <c r="O171" s="75" t="s">
        <v>624</v>
      </c>
    </row>
    <row r="172" spans="2:15" x14ac:dyDescent="0.2">
      <c r="B172" s="1100" t="s">
        <v>417</v>
      </c>
      <c r="C172" s="75" t="s">
        <v>468</v>
      </c>
      <c r="D172" s="75" t="s">
        <v>487</v>
      </c>
      <c r="E172" s="75" t="s">
        <v>508</v>
      </c>
      <c r="F172" s="75"/>
      <c r="G172" s="75"/>
      <c r="H172" s="75" t="s">
        <v>531</v>
      </c>
      <c r="I172" s="75" t="s">
        <v>551</v>
      </c>
      <c r="J172" s="75" t="s">
        <v>568</v>
      </c>
      <c r="K172" s="75" t="s">
        <v>590</v>
      </c>
      <c r="L172" s="75" t="s">
        <v>607</v>
      </c>
      <c r="M172" s="75"/>
      <c r="N172" s="75"/>
      <c r="O172" s="75" t="s">
        <v>625</v>
      </c>
    </row>
    <row r="173" spans="2:15" x14ac:dyDescent="0.2">
      <c r="B173" s="1100" t="s">
        <v>418</v>
      </c>
      <c r="C173" s="75" t="s">
        <v>469</v>
      </c>
      <c r="D173" s="75" t="s">
        <v>488</v>
      </c>
      <c r="E173" s="75" t="s">
        <v>509</v>
      </c>
      <c r="F173" s="75"/>
      <c r="G173" s="75"/>
      <c r="H173" s="75" t="s">
        <v>532</v>
      </c>
      <c r="I173" s="75" t="s">
        <v>552</v>
      </c>
      <c r="J173" s="75" t="s">
        <v>569</v>
      </c>
      <c r="K173" s="75" t="s">
        <v>579</v>
      </c>
      <c r="L173" s="75" t="s">
        <v>608</v>
      </c>
      <c r="M173" s="75"/>
      <c r="N173" s="75"/>
      <c r="O173" s="75" t="s">
        <v>626</v>
      </c>
    </row>
    <row r="174" spans="2:15" x14ac:dyDescent="0.2">
      <c r="B174" s="1100" t="s">
        <v>410</v>
      </c>
      <c r="C174" s="75" t="s">
        <v>470</v>
      </c>
      <c r="D174" s="75" t="s">
        <v>489</v>
      </c>
      <c r="E174" s="75" t="s">
        <v>510</v>
      </c>
      <c r="F174" s="75"/>
      <c r="G174" s="75"/>
      <c r="H174" s="75" t="s">
        <v>533</v>
      </c>
      <c r="I174" s="75" t="s">
        <v>542</v>
      </c>
      <c r="J174" s="75" t="s">
        <v>570</v>
      </c>
      <c r="K174" s="75" t="s">
        <v>592</v>
      </c>
      <c r="L174" s="75" t="s">
        <v>609</v>
      </c>
      <c r="M174" s="75"/>
      <c r="N174" s="75"/>
      <c r="O174" s="75" t="s">
        <v>627</v>
      </c>
    </row>
    <row r="175" spans="2:15" x14ac:dyDescent="0.2">
      <c r="B175" s="1100" t="s">
        <v>411</v>
      </c>
      <c r="C175" s="75" t="s">
        <v>471</v>
      </c>
      <c r="D175" s="75" t="s">
        <v>490</v>
      </c>
      <c r="E175" s="75" t="s">
        <v>511</v>
      </c>
      <c r="F175" s="75"/>
      <c r="G175" s="75"/>
      <c r="H175" s="75" t="s">
        <v>534</v>
      </c>
      <c r="I175" s="75" t="s">
        <v>543</v>
      </c>
      <c r="J175" s="75" t="s">
        <v>571</v>
      </c>
      <c r="K175" s="75" t="s">
        <v>593</v>
      </c>
      <c r="L175" s="75" t="s">
        <v>610</v>
      </c>
      <c r="M175" s="75"/>
      <c r="N175" s="75"/>
      <c r="O175" s="75" t="s">
        <v>628</v>
      </c>
    </row>
    <row r="176" spans="2:15" x14ac:dyDescent="0.2">
      <c r="B176" s="1100" t="s">
        <v>451</v>
      </c>
      <c r="C176" s="75" t="s">
        <v>577</v>
      </c>
      <c r="D176" s="75" t="s">
        <v>491</v>
      </c>
      <c r="E176" s="75" t="s">
        <v>512</v>
      </c>
      <c r="F176" s="75"/>
      <c r="G176" s="75"/>
      <c r="H176" s="75" t="s">
        <v>535</v>
      </c>
      <c r="I176" s="75" t="s">
        <v>553</v>
      </c>
      <c r="J176" s="75" t="s">
        <v>572</v>
      </c>
      <c r="K176" s="75" t="s">
        <v>594</v>
      </c>
      <c r="L176" s="75" t="s">
        <v>611</v>
      </c>
      <c r="M176" s="75"/>
      <c r="N176" s="75"/>
      <c r="O176" s="75" t="s">
        <v>619</v>
      </c>
    </row>
    <row r="177" spans="2:15" x14ac:dyDescent="0.2">
      <c r="B177" s="1100" t="s">
        <v>452</v>
      </c>
      <c r="C177" s="75" t="s">
        <v>472</v>
      </c>
      <c r="D177" s="75" t="s">
        <v>492</v>
      </c>
      <c r="E177" s="75" t="s">
        <v>513</v>
      </c>
      <c r="F177" s="75"/>
      <c r="G177" s="75"/>
      <c r="H177" s="75" t="s">
        <v>536</v>
      </c>
      <c r="I177" s="75" t="s">
        <v>554</v>
      </c>
      <c r="J177" s="75" t="s">
        <v>573</v>
      </c>
      <c r="K177" s="75" t="s">
        <v>584</v>
      </c>
      <c r="L177" s="75" t="s">
        <v>612</v>
      </c>
      <c r="M177" s="75"/>
      <c r="N177" s="75"/>
      <c r="O177" s="75" t="s">
        <v>629</v>
      </c>
    </row>
    <row r="178" spans="2:15" x14ac:dyDescent="0.2">
      <c r="B178" s="1100" t="s">
        <v>453</v>
      </c>
      <c r="C178" s="75" t="s">
        <v>473</v>
      </c>
      <c r="D178" s="75" t="s">
        <v>493</v>
      </c>
      <c r="E178" s="75" t="s">
        <v>514</v>
      </c>
      <c r="F178" s="75"/>
      <c r="G178" s="75"/>
      <c r="H178" s="75" t="s">
        <v>537</v>
      </c>
      <c r="I178" s="75" t="s">
        <v>555</v>
      </c>
      <c r="J178" s="75" t="s">
        <v>574</v>
      </c>
      <c r="K178" s="75" t="s">
        <v>595</v>
      </c>
      <c r="L178" s="75" t="s">
        <v>613</v>
      </c>
      <c r="M178" s="75"/>
      <c r="N178" s="75"/>
      <c r="O178" s="75" t="s">
        <v>630</v>
      </c>
    </row>
    <row r="179" spans="2:15" x14ac:dyDescent="0.2">
      <c r="B179" s="1100" t="s">
        <v>454</v>
      </c>
      <c r="C179" s="75" t="s">
        <v>474</v>
      </c>
      <c r="D179" s="75" t="s">
        <v>494</v>
      </c>
      <c r="E179" s="75" t="s">
        <v>515</v>
      </c>
      <c r="F179" s="75"/>
      <c r="G179" s="75"/>
      <c r="H179" s="75" t="s">
        <v>538</v>
      </c>
      <c r="I179" s="75" t="s">
        <v>556</v>
      </c>
      <c r="J179" s="75" t="s">
        <v>575</v>
      </c>
      <c r="K179" s="75" t="s">
        <v>596</v>
      </c>
      <c r="L179" s="75" t="s">
        <v>614</v>
      </c>
      <c r="M179" s="75"/>
      <c r="N179" s="75"/>
      <c r="O179" s="75" t="s">
        <v>631</v>
      </c>
    </row>
    <row r="180" spans="2:15" x14ac:dyDescent="0.2">
      <c r="B180" s="1100" t="s">
        <v>455</v>
      </c>
      <c r="C180" s="75" t="s">
        <v>475</v>
      </c>
      <c r="D180" s="75" t="s">
        <v>495</v>
      </c>
      <c r="E180" s="75" t="s">
        <v>516</v>
      </c>
      <c r="F180" s="75"/>
      <c r="G180" s="75"/>
      <c r="H180" s="75" t="s">
        <v>539</v>
      </c>
      <c r="I180" s="75" t="s">
        <v>557</v>
      </c>
      <c r="J180" s="75" t="s">
        <v>578</v>
      </c>
      <c r="K180" s="75" t="s">
        <v>597</v>
      </c>
      <c r="L180" s="75" t="s">
        <v>615</v>
      </c>
      <c r="M180" s="75"/>
      <c r="N180" s="75"/>
      <c r="O180" s="75" t="s">
        <v>632</v>
      </c>
    </row>
    <row r="181" spans="2:15" x14ac:dyDescent="0.2">
      <c r="B181" s="1100" t="s">
        <v>456</v>
      </c>
      <c r="C181" s="75" t="s">
        <v>476</v>
      </c>
      <c r="D181" s="75" t="s">
        <v>496</v>
      </c>
      <c r="E181" s="75" t="s">
        <v>517</v>
      </c>
      <c r="F181" s="75"/>
      <c r="G181" s="75"/>
      <c r="H181" s="75" t="s">
        <v>540</v>
      </c>
      <c r="I181" s="75" t="s">
        <v>558</v>
      </c>
      <c r="J181" s="75" t="s">
        <v>579</v>
      </c>
      <c r="K181" s="75" t="s">
        <v>598</v>
      </c>
      <c r="L181" s="75" t="s">
        <v>616</v>
      </c>
      <c r="M181" s="75"/>
      <c r="N181" s="75"/>
      <c r="O181" s="75" t="s">
        <v>633</v>
      </c>
    </row>
    <row r="182" spans="2:15" x14ac:dyDescent="0.2">
      <c r="B182" s="1100" t="s">
        <v>457</v>
      </c>
      <c r="C182" s="75" t="s">
        <v>477</v>
      </c>
      <c r="D182" s="75" t="s">
        <v>497</v>
      </c>
      <c r="E182" s="75" t="s">
        <v>518</v>
      </c>
      <c r="F182" s="75"/>
      <c r="G182" s="75"/>
      <c r="H182" s="75" t="s">
        <v>541</v>
      </c>
      <c r="I182" s="75" t="s">
        <v>559</v>
      </c>
      <c r="J182" s="75" t="s">
        <v>580</v>
      </c>
      <c r="K182" s="75" t="s">
        <v>599</v>
      </c>
      <c r="L182" s="75" t="s">
        <v>617</v>
      </c>
      <c r="M182" s="75"/>
      <c r="N182" s="75"/>
      <c r="O182" s="75" t="s">
        <v>634</v>
      </c>
    </row>
    <row r="183" spans="2:15" x14ac:dyDescent="0.2">
      <c r="B183" s="1100" t="s">
        <v>458</v>
      </c>
      <c r="C183" s="75" t="s">
        <v>576</v>
      </c>
      <c r="D183" s="75" t="s">
        <v>498</v>
      </c>
      <c r="E183" s="75" t="s">
        <v>519</v>
      </c>
      <c r="F183" s="75"/>
      <c r="G183" s="75"/>
      <c r="H183" s="75" t="s">
        <v>542</v>
      </c>
      <c r="I183" s="75" t="s">
        <v>560</v>
      </c>
      <c r="J183" s="75" t="s">
        <v>581</v>
      </c>
      <c r="K183" s="75" t="s">
        <v>600</v>
      </c>
      <c r="L183" s="75" t="s">
        <v>618</v>
      </c>
      <c r="M183" s="75"/>
      <c r="N183" s="75"/>
      <c r="O183" s="75" t="s">
        <v>635</v>
      </c>
    </row>
    <row r="184" spans="2:15" x14ac:dyDescent="0.2">
      <c r="B184" s="1100" t="s">
        <v>459</v>
      </c>
      <c r="C184" s="75" t="s">
        <v>478</v>
      </c>
      <c r="D184" s="75" t="s">
        <v>499</v>
      </c>
      <c r="E184" s="75" t="s">
        <v>520</v>
      </c>
      <c r="F184" s="75"/>
      <c r="G184" s="75"/>
      <c r="H184" s="75" t="s">
        <v>543</v>
      </c>
      <c r="I184" s="75" t="s">
        <v>561</v>
      </c>
      <c r="J184" s="75" t="s">
        <v>582</v>
      </c>
      <c r="K184" s="75" t="s">
        <v>601</v>
      </c>
      <c r="L184" s="75" t="s">
        <v>619</v>
      </c>
      <c r="M184" s="75"/>
      <c r="N184" s="75"/>
      <c r="O184" s="75" t="s">
        <v>636</v>
      </c>
    </row>
    <row r="185" spans="2:15" x14ac:dyDescent="0.2">
      <c r="B185" s="1100" t="s">
        <v>460</v>
      </c>
      <c r="C185" s="75" t="s">
        <v>479</v>
      </c>
      <c r="D185" s="75" t="s">
        <v>500</v>
      </c>
      <c r="E185" s="75" t="s">
        <v>521</v>
      </c>
      <c r="F185" s="75"/>
      <c r="G185" s="75"/>
      <c r="H185" s="75" t="s">
        <v>544</v>
      </c>
      <c r="I185" s="75" t="s">
        <v>562</v>
      </c>
      <c r="J185" s="75" t="s">
        <v>583</v>
      </c>
      <c r="K185" s="75" t="s">
        <v>602</v>
      </c>
      <c r="L185" s="75" t="s">
        <v>620</v>
      </c>
      <c r="M185" s="75"/>
      <c r="N185" s="75"/>
      <c r="O185" s="75" t="s">
        <v>637</v>
      </c>
    </row>
    <row r="186" spans="2:15" ht="13.5" thickBot="1" x14ac:dyDescent="0.25">
      <c r="B186" s="1101" t="s">
        <v>461</v>
      </c>
      <c r="C186" s="1006" t="s">
        <v>480</v>
      </c>
      <c r="D186" s="1006" t="s">
        <v>501</v>
      </c>
      <c r="E186" s="1006" t="s">
        <v>522</v>
      </c>
      <c r="F186" s="1006"/>
      <c r="G186" s="1006"/>
      <c r="H186" s="1006" t="s">
        <v>545</v>
      </c>
      <c r="I186" s="1006" t="s">
        <v>563</v>
      </c>
      <c r="J186" s="1006" t="s">
        <v>584</v>
      </c>
      <c r="K186" s="1006" t="s">
        <v>603</v>
      </c>
      <c r="L186" s="1006" t="s">
        <v>621</v>
      </c>
      <c r="M186" s="1006"/>
      <c r="N186" s="1006"/>
      <c r="O186" s="1006" t="s">
        <v>591</v>
      </c>
    </row>
    <row r="187" spans="2:15" ht="13.5" thickTop="1" x14ac:dyDescent="0.2">
      <c r="B187" s="984" t="s">
        <v>272</v>
      </c>
      <c r="C187" s="1008"/>
      <c r="D187" s="1009"/>
      <c r="E187" s="1009"/>
      <c r="F187" s="1009"/>
      <c r="G187" s="1009"/>
      <c r="H187" s="1009"/>
      <c r="I187" s="1009"/>
      <c r="J187" s="1009"/>
      <c r="K187" s="1009"/>
      <c r="L187" s="1009"/>
      <c r="M187" s="1009"/>
      <c r="N187" s="1009"/>
      <c r="O187" s="1010"/>
    </row>
    <row r="188" spans="2:15" x14ac:dyDescent="0.2">
      <c r="B188" s="1007" t="s">
        <v>273</v>
      </c>
      <c r="C188" s="1011" t="s">
        <v>523</v>
      </c>
      <c r="D188" s="1012" t="s">
        <v>524</v>
      </c>
      <c r="E188" s="1012" t="s">
        <v>525</v>
      </c>
      <c r="F188" s="1012"/>
      <c r="G188" s="1012"/>
      <c r="H188" s="1012" t="s">
        <v>546</v>
      </c>
      <c r="I188" s="1012" t="s">
        <v>564</v>
      </c>
      <c r="J188" s="1012" t="s">
        <v>585</v>
      </c>
      <c r="K188" s="1012" t="s">
        <v>638</v>
      </c>
      <c r="L188" s="1012" t="s">
        <v>639</v>
      </c>
      <c r="M188" s="1012"/>
      <c r="N188" s="1012"/>
      <c r="O188" s="1039" t="s">
        <v>640</v>
      </c>
    </row>
    <row r="189" spans="2:15" ht="13.5" thickBot="1" x14ac:dyDescent="0.25">
      <c r="B189" s="986" t="s">
        <v>257</v>
      </c>
      <c r="C189" s="1013"/>
      <c r="D189" s="1014"/>
      <c r="E189" s="1014"/>
      <c r="F189" s="1014"/>
      <c r="G189" s="1014"/>
      <c r="H189" s="1014"/>
      <c r="I189" s="1014"/>
      <c r="J189" s="1014"/>
      <c r="K189" s="1014"/>
      <c r="L189" s="1014"/>
      <c r="M189" s="1014"/>
      <c r="N189" s="1014"/>
      <c r="O189" s="1015"/>
    </row>
    <row r="190" spans="2:15" ht="13.5" thickTop="1" x14ac:dyDescent="0.2">
      <c r="B190" s="984" t="s">
        <v>255</v>
      </c>
      <c r="C190" s="1008"/>
      <c r="D190" s="1009"/>
      <c r="E190" s="1009"/>
      <c r="F190" s="1009"/>
      <c r="G190" s="1009"/>
      <c r="H190" s="1009"/>
      <c r="I190" s="1009"/>
      <c r="J190" s="1009"/>
      <c r="K190" s="1009"/>
      <c r="L190" s="1009"/>
      <c r="M190" s="1009"/>
      <c r="N190" s="1009"/>
      <c r="O190" s="1010"/>
    </row>
    <row r="191" spans="2:15" x14ac:dyDescent="0.2">
      <c r="B191" s="1007" t="s">
        <v>256</v>
      </c>
      <c r="C191" s="1011" t="s">
        <v>641</v>
      </c>
      <c r="D191" s="1012" t="s">
        <v>642</v>
      </c>
      <c r="E191" s="1012" t="s">
        <v>643</v>
      </c>
      <c r="F191" s="1012"/>
      <c r="G191" s="1012"/>
      <c r="H191" s="1016" t="s">
        <v>644</v>
      </c>
      <c r="I191" s="1012" t="s">
        <v>645</v>
      </c>
      <c r="J191" s="1012" t="s">
        <v>646</v>
      </c>
      <c r="K191" s="1012" t="s">
        <v>647</v>
      </c>
      <c r="L191" s="1012" t="s">
        <v>648</v>
      </c>
      <c r="M191" s="1012"/>
      <c r="N191" s="1012"/>
      <c r="O191" s="1017" t="s">
        <v>649</v>
      </c>
    </row>
    <row r="192" spans="2:15" ht="13.5" thickBot="1" x14ac:dyDescent="0.25">
      <c r="B192" s="986" t="s">
        <v>257</v>
      </c>
      <c r="C192" s="1013"/>
      <c r="D192" s="1014"/>
      <c r="E192" s="1014"/>
      <c r="F192" s="1014"/>
      <c r="G192" s="1014"/>
      <c r="H192" s="1014"/>
      <c r="I192" s="1014"/>
      <c r="J192" s="1014"/>
      <c r="K192" s="1014"/>
      <c r="L192" s="1014"/>
      <c r="M192" s="1014"/>
      <c r="N192" s="1014"/>
      <c r="O192" s="1015"/>
    </row>
    <row r="193" spans="2:15" ht="13.5" thickTop="1" x14ac:dyDescent="0.2">
      <c r="B193" s="984" t="s">
        <v>255</v>
      </c>
      <c r="C193" s="1008"/>
      <c r="D193" s="1009"/>
      <c r="E193" s="1009"/>
      <c r="F193" s="1009"/>
      <c r="G193" s="1009"/>
      <c r="H193" s="1009"/>
      <c r="I193" s="1009"/>
      <c r="J193" s="1009"/>
      <c r="K193" s="1009"/>
      <c r="L193" s="1018"/>
      <c r="M193" s="1018"/>
      <c r="N193" s="1018"/>
      <c r="O193" s="1019"/>
    </row>
    <row r="194" spans="2:15" x14ac:dyDescent="0.2">
      <c r="B194" s="1007">
        <v>100</v>
      </c>
      <c r="C194" s="1011"/>
      <c r="D194" s="1012"/>
      <c r="E194" s="1012"/>
      <c r="F194" s="1012"/>
      <c r="G194" s="1012"/>
      <c r="H194" s="1012"/>
      <c r="I194" s="1012"/>
      <c r="J194" s="1012"/>
      <c r="K194" s="1012"/>
      <c r="L194" s="1020"/>
      <c r="M194" s="1020"/>
      <c r="N194" s="1020"/>
      <c r="O194" s="1021"/>
    </row>
    <row r="195" spans="2:15" x14ac:dyDescent="0.2">
      <c r="B195" s="1007" t="s">
        <v>258</v>
      </c>
      <c r="C195" s="1011" t="s">
        <v>650</v>
      </c>
      <c r="D195" s="1012" t="s">
        <v>651</v>
      </c>
      <c r="E195" s="1012" t="s">
        <v>652</v>
      </c>
      <c r="F195" s="1012"/>
      <c r="G195" s="1012"/>
      <c r="H195" s="1012" t="s">
        <v>653</v>
      </c>
      <c r="I195" s="1012" t="s">
        <v>463</v>
      </c>
      <c r="J195" s="1012" t="s">
        <v>654</v>
      </c>
      <c r="K195" s="1012" t="s">
        <v>472</v>
      </c>
      <c r="L195" s="1020"/>
      <c r="M195" s="1020"/>
      <c r="N195" s="1020"/>
      <c r="O195" s="1021"/>
    </row>
    <row r="196" spans="2:15" x14ac:dyDescent="0.2">
      <c r="B196" s="1007" t="s">
        <v>259</v>
      </c>
      <c r="C196" s="1011"/>
      <c r="D196" s="1012"/>
      <c r="E196" s="1012"/>
      <c r="F196" s="1012"/>
      <c r="G196" s="1012"/>
      <c r="H196" s="1012"/>
      <c r="I196" s="1012"/>
      <c r="J196" s="1012"/>
      <c r="K196" s="1012"/>
      <c r="L196" s="1020"/>
      <c r="M196" s="1020"/>
      <c r="N196" s="1020"/>
      <c r="O196" s="1021"/>
    </row>
    <row r="197" spans="2:15" ht="13.5" thickBot="1" x14ac:dyDescent="0.25">
      <c r="B197" s="986" t="s">
        <v>257</v>
      </c>
      <c r="C197" s="1013"/>
      <c r="D197" s="1014"/>
      <c r="E197" s="1014"/>
      <c r="F197" s="1014"/>
      <c r="G197" s="1014"/>
      <c r="H197" s="1014"/>
      <c r="I197" s="1014"/>
      <c r="J197" s="1014"/>
      <c r="K197" s="1014"/>
      <c r="L197" s="1022"/>
      <c r="M197" s="1022"/>
      <c r="N197" s="1022"/>
      <c r="O197" s="1023"/>
    </row>
    <row r="198" spans="2:15" ht="13.5" thickTop="1" x14ac:dyDescent="0.2"/>
  </sheetData>
  <sheetProtection password="CDD2" sheet="1" objects="1" scenarios="1"/>
  <pageMargins left="0.75" right="0.75" top="1" bottom="1" header="0.5" footer="0.5"/>
  <pageSetup orientation="portrait" verticalDpi="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27"/>
  <sheetViews>
    <sheetView showGridLines="0" zoomScale="85" workbookViewId="0"/>
  </sheetViews>
  <sheetFormatPr defaultRowHeight="12.75" x14ac:dyDescent="0.2"/>
  <cols>
    <col min="1" max="1" width="1" customWidth="1"/>
    <col min="2" max="2" width="12.140625" customWidth="1"/>
    <col min="3" max="3" width="10.5703125" bestFit="1" customWidth="1"/>
    <col min="4" max="4" width="13.28515625" customWidth="1"/>
    <col min="5" max="6" width="11.5703125" customWidth="1"/>
    <col min="7" max="7" width="13.5703125" customWidth="1"/>
    <col min="8" max="8" width="12.85546875" customWidth="1"/>
    <col min="9" max="9" width="13.42578125" customWidth="1"/>
    <col min="10" max="10" width="12.85546875" customWidth="1"/>
    <col min="11" max="11" width="13.42578125" customWidth="1"/>
    <col min="12" max="12" width="13.28515625" customWidth="1"/>
    <col min="13" max="13" width="13" customWidth="1"/>
    <col min="14" max="14" width="13.28515625" customWidth="1"/>
  </cols>
  <sheetData>
    <row r="1" spans="1:14" ht="23.25" x14ac:dyDescent="0.35">
      <c r="A1" s="790" t="s">
        <v>1804</v>
      </c>
      <c r="E1" s="389" t="s">
        <v>1822</v>
      </c>
      <c r="K1" s="193" t="s">
        <v>1824</v>
      </c>
    </row>
    <row r="2" spans="1:14" ht="16.5" thickBot="1" x14ac:dyDescent="0.3">
      <c r="B2" s="116">
        <f ca="1">NOW()</f>
        <v>42899.605034722219</v>
      </c>
      <c r="E2" s="192"/>
      <c r="G2" s="852">
        <f>IF(D18=0," ",IF(D18&gt;0,+D18))</f>
        <v>10</v>
      </c>
    </row>
    <row r="3" spans="1:14" ht="15.75" x14ac:dyDescent="0.25">
      <c r="A3" s="116"/>
      <c r="E3" s="35"/>
      <c r="G3" s="852">
        <f>IF(D25=0," ",IF(D25&gt;0,+D25))</f>
        <v>450</v>
      </c>
      <c r="K3" s="302" t="s">
        <v>1825</v>
      </c>
      <c r="L3" s="432" t="s">
        <v>1826</v>
      </c>
      <c r="M3" s="433" t="s">
        <v>1827</v>
      </c>
    </row>
    <row r="4" spans="1:14" ht="16.5" thickBot="1" x14ac:dyDescent="0.3">
      <c r="B4" s="35" t="s">
        <v>1720</v>
      </c>
      <c r="C4" s="192"/>
      <c r="H4" s="35"/>
      <c r="K4" s="441" t="s">
        <v>1802</v>
      </c>
      <c r="L4" s="434" t="s">
        <v>1829</v>
      </c>
      <c r="M4" s="435" t="s">
        <v>1828</v>
      </c>
    </row>
    <row r="5" spans="1:14" ht="16.5" thickBot="1" x14ac:dyDescent="0.3">
      <c r="B5" s="852">
        <f>IF(E18=0," ",IF(E18&gt;0,+E18))</f>
        <v>0.75</v>
      </c>
      <c r="K5" s="833">
        <v>0.75</v>
      </c>
      <c r="L5" s="431">
        <f>IF(K5=0," ",IF(K5&gt;0,+K5*144*0.28356481))</f>
        <v>30.62499948</v>
      </c>
      <c r="M5" s="431">
        <f>IF(K5=0," ",IF(K5&gt;0,+L5*10.76391042*0.4535924))</f>
        <v>149.5243537604172</v>
      </c>
    </row>
    <row r="6" spans="1:14" ht="15.75" x14ac:dyDescent="0.25">
      <c r="B6" s="852">
        <f>IF(E25=0," ",IF(E25&gt;0,+E25))</f>
        <v>25</v>
      </c>
      <c r="K6" s="398" t="s">
        <v>1816</v>
      </c>
    </row>
    <row r="7" spans="1:14" ht="16.5" thickBot="1" x14ac:dyDescent="0.3">
      <c r="H7" s="35"/>
    </row>
    <row r="8" spans="1:14" ht="18" x14ac:dyDescent="0.25">
      <c r="F8" s="389" t="s">
        <v>1823</v>
      </c>
      <c r="K8" s="302" t="s">
        <v>1825</v>
      </c>
      <c r="L8" s="432" t="s">
        <v>1826</v>
      </c>
      <c r="M8" s="433" t="s">
        <v>1827</v>
      </c>
    </row>
    <row r="9" spans="1:14" ht="18.75" thickBot="1" x14ac:dyDescent="0.3">
      <c r="C9" s="389" t="s">
        <v>895</v>
      </c>
      <c r="D9" s="852">
        <f>IF(B18=0," ",IF(B18&gt;0,+B18))</f>
        <v>48</v>
      </c>
      <c r="F9" s="852">
        <f>IF(C18=0," ",IF(C18&gt;0,+C18))</f>
        <v>0.375</v>
      </c>
      <c r="I9" s="430" t="s">
        <v>1811</v>
      </c>
      <c r="J9" s="430" t="s">
        <v>1812</v>
      </c>
      <c r="K9" s="441" t="s">
        <v>1803</v>
      </c>
      <c r="L9" s="434" t="s">
        <v>1829</v>
      </c>
      <c r="M9" s="435" t="s">
        <v>1828</v>
      </c>
    </row>
    <row r="10" spans="1:14" ht="18.75" thickBot="1" x14ac:dyDescent="0.3">
      <c r="C10" s="389" t="s">
        <v>1721</v>
      </c>
      <c r="D10" s="852">
        <f>IF(B25=0," ",IF(B25&gt;0,+B25))</f>
        <v>1200</v>
      </c>
      <c r="F10" s="1110">
        <f>IF(C25=0," ",IF(C25&gt;0,+C25))</f>
        <v>10</v>
      </c>
      <c r="I10" s="852">
        <f>IF(B18=0," ",IF(B18&gt;0,B18-(E18*2)))</f>
        <v>46.5</v>
      </c>
      <c r="J10" s="1111">
        <f>IF(B25=0," ",IF(B25&gt;0,B25-(E25*2)))</f>
        <v>1150</v>
      </c>
      <c r="K10" s="834">
        <v>19.05</v>
      </c>
      <c r="L10" s="310">
        <f>IF(K10=0," ",IF(K10&gt;0,+K10/25.4*144*0.28356481))</f>
        <v>30.624999480000003</v>
      </c>
      <c r="M10" s="310">
        <f>IF(K10=0," ",IF(K10&gt;0,+L10*10.76391042*0.4535924))</f>
        <v>149.52435376041723</v>
      </c>
    </row>
    <row r="11" spans="1:14" ht="18" x14ac:dyDescent="0.25">
      <c r="F11" s="389"/>
      <c r="K11" s="398" t="s">
        <v>1816</v>
      </c>
    </row>
    <row r="14" spans="1:14" ht="19.5" thickBot="1" x14ac:dyDescent="0.35">
      <c r="A14" s="166"/>
      <c r="B14" s="789" t="s">
        <v>1805</v>
      </c>
      <c r="C14" s="137"/>
      <c r="D14" s="137"/>
      <c r="E14" s="137"/>
      <c r="F14" s="137"/>
    </row>
    <row r="15" spans="1:14" ht="15.75" x14ac:dyDescent="0.25">
      <c r="A15" s="293"/>
      <c r="B15" s="432" t="s">
        <v>895</v>
      </c>
      <c r="C15" s="453" t="s">
        <v>905</v>
      </c>
      <c r="D15" s="432" t="s">
        <v>907</v>
      </c>
      <c r="E15" s="432" t="s">
        <v>908</v>
      </c>
      <c r="F15" s="432" t="s">
        <v>1830</v>
      </c>
      <c r="G15" s="432" t="s">
        <v>1484</v>
      </c>
      <c r="H15" s="308" t="s">
        <v>1841</v>
      </c>
      <c r="I15" s="308" t="s">
        <v>1838</v>
      </c>
      <c r="J15" s="308" t="s">
        <v>1830</v>
      </c>
      <c r="K15" s="308" t="s">
        <v>1836</v>
      </c>
      <c r="L15" s="308" t="s">
        <v>1836</v>
      </c>
      <c r="M15" s="308" t="s">
        <v>1835</v>
      </c>
      <c r="N15" s="308" t="s">
        <v>1835</v>
      </c>
    </row>
    <row r="16" spans="1:14" ht="15.75" x14ac:dyDescent="0.25">
      <c r="A16" s="293"/>
      <c r="B16" s="399" t="s">
        <v>1802</v>
      </c>
      <c r="C16" s="454" t="s">
        <v>1802</v>
      </c>
      <c r="D16" s="399" t="s">
        <v>1802</v>
      </c>
      <c r="E16" s="399" t="s">
        <v>1802</v>
      </c>
      <c r="F16" s="299" t="s">
        <v>1484</v>
      </c>
      <c r="G16" s="299" t="s">
        <v>1484</v>
      </c>
      <c r="H16" s="437" t="s">
        <v>1807</v>
      </c>
      <c r="I16" s="304" t="s">
        <v>1807</v>
      </c>
      <c r="J16" s="444" t="s">
        <v>1831</v>
      </c>
      <c r="K16" s="444" t="s">
        <v>1833</v>
      </c>
      <c r="L16" s="444" t="s">
        <v>1833</v>
      </c>
      <c r="M16" s="444" t="s">
        <v>1833</v>
      </c>
      <c r="N16" s="444" t="s">
        <v>1833</v>
      </c>
    </row>
    <row r="17" spans="1:14" ht="16.5" thickBot="1" x14ac:dyDescent="0.3">
      <c r="A17" s="301"/>
      <c r="B17" s="128" t="s">
        <v>904</v>
      </c>
      <c r="C17" s="455" t="s">
        <v>906</v>
      </c>
      <c r="D17" s="128" t="s">
        <v>1095</v>
      </c>
      <c r="E17" s="128" t="s">
        <v>941</v>
      </c>
      <c r="F17" s="440" t="s">
        <v>1794</v>
      </c>
      <c r="G17" s="128" t="s">
        <v>1553</v>
      </c>
      <c r="H17" s="438" t="s">
        <v>1809</v>
      </c>
      <c r="I17" s="422" t="s">
        <v>1810</v>
      </c>
      <c r="J17" s="445" t="s">
        <v>1832</v>
      </c>
      <c r="K17" s="445" t="s">
        <v>1808</v>
      </c>
      <c r="L17" s="446" t="s">
        <v>1834</v>
      </c>
      <c r="M17" s="445" t="s">
        <v>1808</v>
      </c>
      <c r="N17" s="446" t="s">
        <v>1834</v>
      </c>
    </row>
    <row r="18" spans="1:14" ht="16.5" thickBot="1" x14ac:dyDescent="0.3">
      <c r="A18" s="303" t="s">
        <v>899</v>
      </c>
      <c r="B18" s="830">
        <v>48</v>
      </c>
      <c r="C18" s="831">
        <v>0.375</v>
      </c>
      <c r="D18" s="831">
        <v>10</v>
      </c>
      <c r="E18" s="831">
        <v>0.75</v>
      </c>
      <c r="F18" s="436">
        <f>((B18-(E18*2))*C18*12*0.28356481)+(D18*E18*12*0.28356481)*2</f>
        <v>110.3776022925</v>
      </c>
      <c r="G18" s="439">
        <f>F18*3.2808399*0.4535924</f>
        <v>164.25997902297101</v>
      </c>
      <c r="H18" s="306">
        <f>((B18-(E18*2))*2+(D18*4)+(E18*4)-(C18*2))*12/144</f>
        <v>11.270833333333334</v>
      </c>
      <c r="I18" s="307">
        <f>H18*3.2808399*0.09290304</f>
        <v>3.4353500052217325</v>
      </c>
      <c r="J18" s="832">
        <v>10</v>
      </c>
      <c r="K18" s="310">
        <f>D18/12*J18*2</f>
        <v>16.666666666666668</v>
      </c>
      <c r="L18" s="310">
        <f>K18*0.09290304</f>
        <v>1.5483840000000002</v>
      </c>
      <c r="M18" s="310">
        <f>I10/12*J18</f>
        <v>38.75</v>
      </c>
      <c r="N18" s="310">
        <f>M18*0.09290304</f>
        <v>3.5999928000000003</v>
      </c>
    </row>
    <row r="19" spans="1:14" x14ac:dyDescent="0.2">
      <c r="B19" s="398" t="s">
        <v>1816</v>
      </c>
      <c r="C19" s="398" t="s">
        <v>1816</v>
      </c>
      <c r="D19" s="398" t="s">
        <v>1816</v>
      </c>
      <c r="E19" s="398" t="s">
        <v>1816</v>
      </c>
      <c r="F19" s="443" t="s">
        <v>1839</v>
      </c>
      <c r="G19" s="450" t="s">
        <v>1840</v>
      </c>
      <c r="J19" s="398" t="s">
        <v>1816</v>
      </c>
      <c r="K19" s="443" t="s">
        <v>1839</v>
      </c>
      <c r="L19" s="450" t="s">
        <v>1840</v>
      </c>
      <c r="M19" s="443" t="s">
        <v>1839</v>
      </c>
      <c r="N19" s="450" t="s">
        <v>1840</v>
      </c>
    </row>
    <row r="20" spans="1:14" ht="16.5" thickBot="1" x14ac:dyDescent="0.3">
      <c r="C20" s="29" t="s">
        <v>1842</v>
      </c>
      <c r="D20" s="29"/>
      <c r="F20" s="448">
        <f>F18*J18</f>
        <v>1103.776022925</v>
      </c>
      <c r="G20" s="447">
        <f>F20*0.4535924</f>
        <v>500.66441530100576</v>
      </c>
      <c r="I20" s="29" t="s">
        <v>1843</v>
      </c>
      <c r="K20" s="447">
        <f>K18*144*E18*0.28356481</f>
        <v>510.41665799999998</v>
      </c>
      <c r="L20" s="449">
        <f>K20*0.4535924</f>
        <v>231.5211169021992</v>
      </c>
      <c r="M20" s="447">
        <f>M18*144*C18*0.28356481</f>
        <v>593.35936492500002</v>
      </c>
      <c r="N20" s="449">
        <f>M20*0.4535924</f>
        <v>269.14329839880656</v>
      </c>
    </row>
    <row r="21" spans="1:14" ht="19.5" thickBot="1" x14ac:dyDescent="0.35">
      <c r="B21" s="789" t="s">
        <v>1806</v>
      </c>
    </row>
    <row r="22" spans="1:14" ht="15.75" x14ac:dyDescent="0.25">
      <c r="B22" s="302" t="s">
        <v>895</v>
      </c>
      <c r="C22" s="432" t="s">
        <v>905</v>
      </c>
      <c r="D22" s="432" t="s">
        <v>907</v>
      </c>
      <c r="E22" s="432" t="s">
        <v>908</v>
      </c>
      <c r="F22" s="432" t="s">
        <v>1484</v>
      </c>
      <c r="G22" s="432" t="s">
        <v>1484</v>
      </c>
      <c r="H22" s="451" t="s">
        <v>1841</v>
      </c>
      <c r="I22" s="308" t="s">
        <v>1838</v>
      </c>
      <c r="J22" s="308" t="s">
        <v>1830</v>
      </c>
      <c r="K22" s="308" t="s">
        <v>1836</v>
      </c>
      <c r="L22" s="308" t="s">
        <v>1836</v>
      </c>
      <c r="M22" s="308" t="s">
        <v>1835</v>
      </c>
      <c r="N22" s="308" t="s">
        <v>1835</v>
      </c>
    </row>
    <row r="23" spans="1:14" ht="15.75" x14ac:dyDescent="0.25">
      <c r="B23" s="442" t="s">
        <v>1803</v>
      </c>
      <c r="C23" s="399" t="s">
        <v>1803</v>
      </c>
      <c r="D23" s="399" t="s">
        <v>1803</v>
      </c>
      <c r="E23" s="399" t="s">
        <v>1803</v>
      </c>
      <c r="F23" s="299"/>
      <c r="G23" s="299"/>
      <c r="H23" s="299" t="s">
        <v>1807</v>
      </c>
      <c r="I23" s="304" t="s">
        <v>1807</v>
      </c>
      <c r="J23" s="444" t="s">
        <v>1831</v>
      </c>
      <c r="K23" s="444" t="s">
        <v>1833</v>
      </c>
      <c r="L23" s="444" t="s">
        <v>1833</v>
      </c>
      <c r="M23" s="444" t="s">
        <v>1833</v>
      </c>
      <c r="N23" s="444" t="s">
        <v>1833</v>
      </c>
    </row>
    <row r="24" spans="1:14" ht="16.5" thickBot="1" x14ac:dyDescent="0.3">
      <c r="B24" s="127" t="s">
        <v>904</v>
      </c>
      <c r="C24" s="128" t="s">
        <v>906</v>
      </c>
      <c r="D24" s="128" t="s">
        <v>1095</v>
      </c>
      <c r="E24" s="128" t="s">
        <v>941</v>
      </c>
      <c r="F24" s="440" t="s">
        <v>1794</v>
      </c>
      <c r="G24" s="128" t="s">
        <v>1553</v>
      </c>
      <c r="H24" s="452" t="s">
        <v>1809</v>
      </c>
      <c r="I24" s="422" t="s">
        <v>1810</v>
      </c>
      <c r="J24" s="446" t="s">
        <v>1837</v>
      </c>
      <c r="K24" s="445" t="s">
        <v>1841</v>
      </c>
      <c r="L24" s="446" t="s">
        <v>1834</v>
      </c>
      <c r="M24" s="445" t="s">
        <v>1841</v>
      </c>
      <c r="N24" s="446" t="s">
        <v>1834</v>
      </c>
    </row>
    <row r="25" spans="1:14" ht="16.5" thickBot="1" x14ac:dyDescent="0.3">
      <c r="B25" s="835">
        <v>1200</v>
      </c>
      <c r="C25" s="834">
        <v>10</v>
      </c>
      <c r="D25" s="834">
        <v>450</v>
      </c>
      <c r="E25" s="834">
        <v>25</v>
      </c>
      <c r="F25" s="305">
        <f>((B25-(E25*2))/25.4*(C25/25.4)*12*0.28356481)+(D25/25.4)*((E25/25.4)*12*0.28356481)*2</f>
        <v>179.32674449748902</v>
      </c>
      <c r="G25" s="307">
        <f>F25*3.2808399*0.4535924</f>
        <v>266.86761333478194</v>
      </c>
      <c r="H25" s="306">
        <f>((B25/25.4-(E25/25.4*2))*2+(D25/25.4*4)+(E25/25.4*4)-(C25/25.4*2))*12/144</f>
        <v>13.713910761154859</v>
      </c>
      <c r="I25" s="307">
        <f>H25*3.2808399*0.09290304</f>
        <v>4.1800000063536018</v>
      </c>
      <c r="J25" s="832">
        <v>1</v>
      </c>
      <c r="K25" s="310">
        <f>(D25*0.00328084)*2*(J25*3.2808399)</f>
        <v>9.6875196997644011</v>
      </c>
      <c r="L25" s="310">
        <f>K25*0.09290304</f>
        <v>0.90000003016800023</v>
      </c>
      <c r="M25" s="310">
        <f>(J10*0.0032808399)*(J25*1000/25.4/12)</f>
        <v>12.378496998031496</v>
      </c>
      <c r="N25" s="310">
        <f>M25*0.09290304</f>
        <v>1.1500000017480001</v>
      </c>
    </row>
    <row r="26" spans="1:14" x14ac:dyDescent="0.2">
      <c r="B26" s="398" t="s">
        <v>1816</v>
      </c>
      <c r="C26" s="398" t="s">
        <v>1816</v>
      </c>
      <c r="D26" s="398" t="s">
        <v>1816</v>
      </c>
      <c r="E26" s="398" t="s">
        <v>1816</v>
      </c>
      <c r="F26" s="443" t="s">
        <v>1839</v>
      </c>
      <c r="G26" s="450" t="s">
        <v>1840</v>
      </c>
      <c r="J26" s="398" t="s">
        <v>1816</v>
      </c>
      <c r="K26" s="443" t="s">
        <v>1839</v>
      </c>
      <c r="L26" s="450" t="s">
        <v>1840</v>
      </c>
      <c r="M26" s="443" t="s">
        <v>1839</v>
      </c>
      <c r="N26" s="450" t="s">
        <v>1840</v>
      </c>
    </row>
    <row r="27" spans="1:14" ht="16.5" thickBot="1" x14ac:dyDescent="0.3">
      <c r="C27" s="29" t="s">
        <v>1842</v>
      </c>
      <c r="D27" s="29"/>
      <c r="F27" s="448">
        <f>F25*J25*3.2808399</f>
        <v>588.3423384844674</v>
      </c>
      <c r="G27" s="447">
        <f>F27*0.4535924</f>
        <v>266.86761333478194</v>
      </c>
      <c r="I27" s="29" t="s">
        <v>1843</v>
      </c>
      <c r="K27" s="447">
        <f>K25*144*E25/25.4*0.28356481</f>
        <v>389.34420704432358</v>
      </c>
      <c r="L27" s="449">
        <f>K27*0.4535924</f>
        <v>176.60357329933163</v>
      </c>
      <c r="M27" s="447">
        <f>M25*144*C25/25.4*0.28356481</f>
        <v>198.99814389915809</v>
      </c>
      <c r="N27" s="449">
        <f>M27*0.4535924</f>
        <v>90.264045686764476</v>
      </c>
    </row>
  </sheetData>
  <sheetProtection password="CDD2" sheet="1" objects="1" scenarios="1"/>
  <pageMargins left="0.75" right="0.75" top="1" bottom="1" header="0.5" footer="0.5"/>
  <pageSetup orientation="portrait" verticalDpi="0" r:id="rId1"/>
  <headerFooter alignWithMargins="0"/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M116"/>
  <sheetViews>
    <sheetView showGridLines="0" topLeftCell="AK1" workbookViewId="0"/>
  </sheetViews>
  <sheetFormatPr defaultRowHeight="12.75" x14ac:dyDescent="0.2"/>
  <cols>
    <col min="1" max="1" width="2.7109375" customWidth="1"/>
    <col min="2" max="2" width="12.7109375" customWidth="1"/>
    <col min="3" max="3" width="9.5703125" bestFit="1" customWidth="1"/>
    <col min="5" max="5" width="12.42578125" customWidth="1"/>
    <col min="6" max="6" width="10" customWidth="1"/>
    <col min="7" max="7" width="8.140625" customWidth="1"/>
    <col min="8" max="8" width="9.42578125" customWidth="1"/>
    <col min="9" max="9" width="10.7109375" hidden="1" customWidth="1"/>
    <col min="10" max="10" width="0" hidden="1" customWidth="1"/>
    <col min="11" max="11" width="12.7109375" hidden="1" customWidth="1"/>
    <col min="13" max="13" width="13" customWidth="1"/>
    <col min="14" max="14" width="5.5703125" customWidth="1"/>
    <col min="16" max="16" width="8.28515625" customWidth="1"/>
    <col min="22" max="35" width="9.140625" hidden="1" customWidth="1"/>
    <col min="37" max="37" width="6.7109375" customWidth="1"/>
  </cols>
  <sheetData>
    <row r="1" spans="2:31" ht="17.25" thickTop="1" thickBot="1" x14ac:dyDescent="0.3">
      <c r="B1" s="456" t="s">
        <v>52</v>
      </c>
      <c r="W1" s="853" t="s">
        <v>50</v>
      </c>
      <c r="X1" s="854" t="s">
        <v>1825</v>
      </c>
      <c r="Y1" s="855" t="s">
        <v>51</v>
      </c>
      <c r="Z1" s="855" t="s">
        <v>1831</v>
      </c>
      <c r="AA1" s="856" t="s">
        <v>1833</v>
      </c>
      <c r="AB1" s="856" t="s">
        <v>1484</v>
      </c>
      <c r="AC1" s="871" t="s">
        <v>1484</v>
      </c>
      <c r="AD1" s="868" t="s">
        <v>1825</v>
      </c>
      <c r="AE1" s="857" t="s">
        <v>1826</v>
      </c>
    </row>
    <row r="2" spans="2:31" ht="14.25" thickTop="1" thickBot="1" x14ac:dyDescent="0.25">
      <c r="B2" s="853" t="s">
        <v>50</v>
      </c>
      <c r="C2" s="854" t="s">
        <v>1825</v>
      </c>
      <c r="D2" s="855" t="s">
        <v>51</v>
      </c>
      <c r="E2" s="855" t="s">
        <v>1831</v>
      </c>
      <c r="F2" s="856" t="s">
        <v>1833</v>
      </c>
      <c r="G2" s="856" t="s">
        <v>1484</v>
      </c>
      <c r="H2" s="871" t="s">
        <v>1484</v>
      </c>
      <c r="I2" s="868" t="s">
        <v>1825</v>
      </c>
      <c r="J2" s="857" t="s">
        <v>1826</v>
      </c>
      <c r="K2" s="858" t="s">
        <v>1827</v>
      </c>
      <c r="L2" s="893"/>
      <c r="M2" s="893"/>
      <c r="W2" s="867"/>
      <c r="X2" s="859" t="s">
        <v>1802</v>
      </c>
      <c r="Y2" s="859" t="s">
        <v>1802</v>
      </c>
      <c r="Z2" s="859" t="s">
        <v>1802</v>
      </c>
      <c r="AA2" s="861" t="s">
        <v>1808</v>
      </c>
      <c r="AB2" s="862" t="s">
        <v>1906</v>
      </c>
      <c r="AC2" s="872" t="s">
        <v>1840</v>
      </c>
      <c r="AD2" s="873" t="s">
        <v>1802</v>
      </c>
      <c r="AE2" s="864" t="s">
        <v>1829</v>
      </c>
    </row>
    <row r="3" spans="2:31" ht="14.25" thickTop="1" thickBot="1" x14ac:dyDescent="0.25">
      <c r="B3" s="867"/>
      <c r="C3" s="859" t="s">
        <v>1803</v>
      </c>
      <c r="D3" s="859" t="s">
        <v>1803</v>
      </c>
      <c r="E3" s="859" t="s">
        <v>1803</v>
      </c>
      <c r="F3" s="861" t="s">
        <v>1834</v>
      </c>
      <c r="G3" s="862" t="s">
        <v>1840</v>
      </c>
      <c r="H3" s="872" t="s">
        <v>1906</v>
      </c>
      <c r="I3" s="869" t="s">
        <v>1803</v>
      </c>
      <c r="J3" s="864" t="s">
        <v>1829</v>
      </c>
      <c r="K3" s="865" t="s">
        <v>1828</v>
      </c>
      <c r="L3" s="893"/>
      <c r="M3" s="893"/>
      <c r="W3" s="887">
        <v>1</v>
      </c>
      <c r="X3" s="888">
        <f>G20</f>
        <v>0.5</v>
      </c>
      <c r="Y3" s="888">
        <f>H14</f>
        <v>6.5</v>
      </c>
      <c r="Z3" s="888">
        <v>12</v>
      </c>
      <c r="AA3" s="890">
        <f>W3*(Y3/12)*(Z3/12)</f>
        <v>0.54166666666666663</v>
      </c>
      <c r="AB3" s="890">
        <f>AE3*(Y3/12)*(Z3/12)*W3</f>
        <v>11.059027589999999</v>
      </c>
      <c r="AC3" s="891">
        <f>AB3*0.45359229</f>
        <v>5.0162896497212808</v>
      </c>
      <c r="AD3" s="870">
        <f>X3</f>
        <v>0.5</v>
      </c>
      <c r="AE3" s="866">
        <f>AD3*144*0.28356481</f>
        <v>20.416666320000001</v>
      </c>
    </row>
    <row r="4" spans="2:31" ht="17.25" thickTop="1" thickBot="1" x14ac:dyDescent="0.3">
      <c r="B4" s="887">
        <v>1</v>
      </c>
      <c r="C4" s="887">
        <v>25.4</v>
      </c>
      <c r="D4" s="887">
        <v>800</v>
      </c>
      <c r="E4" s="887">
        <v>800</v>
      </c>
      <c r="F4" s="890">
        <f>B4*(D4/1000)*(E4/1000)</f>
        <v>0.64000000000000012</v>
      </c>
      <c r="G4" s="890">
        <f>K4*(D4/1000)*(E4/1000)*B4</f>
        <v>127.59411520888938</v>
      </c>
      <c r="H4" s="892">
        <f>G4*2.204623</f>
        <v>281.29692105416734</v>
      </c>
      <c r="I4" s="870">
        <f>C4</f>
        <v>25.4</v>
      </c>
      <c r="J4" s="866">
        <f>I4/25.4*144*0.28356481</f>
        <v>40.833332640000002</v>
      </c>
      <c r="K4" s="866">
        <f>J4*10.76391042*0.4535924</f>
        <v>199.36580501388963</v>
      </c>
      <c r="L4" s="894"/>
      <c r="M4" s="894"/>
      <c r="W4" s="456" t="s">
        <v>53</v>
      </c>
    </row>
    <row r="5" spans="2:31" ht="13.5" thickTop="1" x14ac:dyDescent="0.2">
      <c r="B5" s="795" t="s">
        <v>1844</v>
      </c>
      <c r="C5" s="795" t="s">
        <v>1844</v>
      </c>
      <c r="D5" s="795" t="s">
        <v>1844</v>
      </c>
      <c r="E5" s="795" t="s">
        <v>1844</v>
      </c>
      <c r="W5" s="853" t="s">
        <v>50</v>
      </c>
      <c r="X5" s="854" t="s">
        <v>1825</v>
      </c>
      <c r="Y5" s="855" t="s">
        <v>51</v>
      </c>
      <c r="Z5" s="855" t="s">
        <v>1831</v>
      </c>
      <c r="AA5" s="856" t="s">
        <v>1833</v>
      </c>
      <c r="AB5" s="856" t="s">
        <v>1484</v>
      </c>
      <c r="AC5" s="871" t="s">
        <v>1484</v>
      </c>
      <c r="AD5" s="868" t="s">
        <v>1825</v>
      </c>
      <c r="AE5" s="857" t="s">
        <v>1826</v>
      </c>
    </row>
    <row r="6" spans="2:31" ht="13.5" thickBot="1" x14ac:dyDescent="0.25">
      <c r="W6" s="867"/>
      <c r="X6" s="859" t="s">
        <v>1802</v>
      </c>
      <c r="Y6" s="859" t="s">
        <v>1802</v>
      </c>
      <c r="Z6" s="859" t="s">
        <v>1802</v>
      </c>
      <c r="AA6" s="861" t="s">
        <v>1808</v>
      </c>
      <c r="AB6" s="862" t="s">
        <v>1906</v>
      </c>
      <c r="AC6" s="872" t="s">
        <v>1840</v>
      </c>
      <c r="AD6" s="873" t="s">
        <v>1802</v>
      </c>
      <c r="AE6" s="864" t="s">
        <v>1829</v>
      </c>
    </row>
    <row r="7" spans="2:31" ht="17.25" thickTop="1" thickBot="1" x14ac:dyDescent="0.3">
      <c r="B7" s="456" t="s">
        <v>53</v>
      </c>
      <c r="W7" s="887">
        <v>1</v>
      </c>
      <c r="X7" s="888">
        <f>M23</f>
        <v>0.25</v>
      </c>
      <c r="Y7" s="888">
        <f>M19-X3</f>
        <v>11.5</v>
      </c>
      <c r="Z7" s="888">
        <v>12</v>
      </c>
      <c r="AA7" s="890">
        <f>W7*(Y7/12)*(Z7/12)</f>
        <v>0.95833333333333337</v>
      </c>
      <c r="AB7" s="890">
        <f>AE7*(Y7/12)*(Z7/12)*W7</f>
        <v>9.7829859450000001</v>
      </c>
      <c r="AC7" s="891">
        <f>AB7*0.45359229</f>
        <v>4.4374869978303639</v>
      </c>
      <c r="AD7" s="870">
        <f>X7</f>
        <v>0.25</v>
      </c>
      <c r="AE7" s="866">
        <f>AD7*144*0.28356481</f>
        <v>10.20833316</v>
      </c>
    </row>
    <row r="8" spans="2:31" ht="13.5" thickTop="1" x14ac:dyDescent="0.2">
      <c r="B8" s="853" t="s">
        <v>50</v>
      </c>
      <c r="C8" s="854" t="s">
        <v>1825</v>
      </c>
      <c r="D8" s="855" t="s">
        <v>51</v>
      </c>
      <c r="E8" s="855" t="s">
        <v>1831</v>
      </c>
      <c r="F8" s="856" t="s">
        <v>1833</v>
      </c>
      <c r="G8" s="856" t="s">
        <v>1484</v>
      </c>
      <c r="H8" s="871" t="s">
        <v>1484</v>
      </c>
      <c r="I8" s="868" t="s">
        <v>1825</v>
      </c>
      <c r="J8" s="857" t="s">
        <v>1826</v>
      </c>
      <c r="K8" s="858" t="s">
        <v>1827</v>
      </c>
      <c r="L8" s="893"/>
      <c r="M8" s="893"/>
    </row>
    <row r="9" spans="2:31" ht="13.5" thickBot="1" x14ac:dyDescent="0.25">
      <c r="B9" s="867"/>
      <c r="C9" s="859" t="s">
        <v>1802</v>
      </c>
      <c r="D9" s="859" t="s">
        <v>1802</v>
      </c>
      <c r="E9" s="859" t="s">
        <v>1802</v>
      </c>
      <c r="F9" s="861" t="s">
        <v>1808</v>
      </c>
      <c r="G9" s="862" t="s">
        <v>1906</v>
      </c>
      <c r="H9" s="872" t="s">
        <v>1840</v>
      </c>
      <c r="I9" s="873" t="s">
        <v>1802</v>
      </c>
      <c r="J9" s="864" t="s">
        <v>1829</v>
      </c>
      <c r="K9" s="865" t="s">
        <v>1828</v>
      </c>
      <c r="L9" s="893"/>
      <c r="M9" s="893"/>
    </row>
    <row r="10" spans="2:31" ht="14.25" thickTop="1" thickBot="1" x14ac:dyDescent="0.25">
      <c r="B10" s="887">
        <v>1</v>
      </c>
      <c r="C10" s="888">
        <v>0.75</v>
      </c>
      <c r="D10" s="888">
        <v>18</v>
      </c>
      <c r="E10" s="888">
        <v>15</v>
      </c>
      <c r="F10" s="890">
        <f>B10*(D10/12)*(E10/12)</f>
        <v>1.875</v>
      </c>
      <c r="G10" s="890">
        <f>J10*(D10/12)*(E10/12)*B10</f>
        <v>57.421874025000001</v>
      </c>
      <c r="H10" s="891">
        <f>G10*0.45359229</f>
        <v>26.046119335091269</v>
      </c>
      <c r="I10" s="870">
        <f>C10</f>
        <v>0.75</v>
      </c>
      <c r="J10" s="866">
        <f>I10*144*0.28356481</f>
        <v>30.62499948</v>
      </c>
      <c r="K10" s="866">
        <f>J10*10.76391042*0.4535924</f>
        <v>149.5243537604172</v>
      </c>
      <c r="L10" s="894"/>
      <c r="M10" s="894"/>
    </row>
    <row r="11" spans="2:31" ht="13.5" thickBot="1" x14ac:dyDescent="0.25">
      <c r="B11" s="795" t="s">
        <v>1844</v>
      </c>
      <c r="C11" s="795" t="s">
        <v>1844</v>
      </c>
      <c r="D11" s="795" t="s">
        <v>1844</v>
      </c>
      <c r="E11" s="795" t="s">
        <v>1844</v>
      </c>
    </row>
    <row r="12" spans="2:31" ht="13.5" thickTop="1" x14ac:dyDescent="0.2">
      <c r="B12" s="895"/>
      <c r="C12" s="896"/>
      <c r="D12" s="896"/>
      <c r="E12" s="897"/>
      <c r="F12" s="895"/>
      <c r="G12" s="896"/>
      <c r="H12" s="896"/>
      <c r="I12" s="896"/>
      <c r="J12" s="896"/>
      <c r="K12" s="896"/>
      <c r="L12" s="896"/>
      <c r="M12" s="897"/>
    </row>
    <row r="13" spans="2:31" ht="13.5" thickBot="1" x14ac:dyDescent="0.25">
      <c r="B13" s="898"/>
      <c r="C13" s="350"/>
      <c r="D13" s="350"/>
      <c r="E13" s="899"/>
      <c r="F13" s="898"/>
      <c r="G13" s="350"/>
      <c r="H13" s="464" t="s">
        <v>1802</v>
      </c>
      <c r="I13" s="350"/>
      <c r="J13" s="350"/>
      <c r="K13" s="350"/>
      <c r="L13" s="350"/>
      <c r="M13" s="899"/>
    </row>
    <row r="14" spans="2:31" ht="16.5" thickBot="1" x14ac:dyDescent="0.3">
      <c r="B14" s="898"/>
      <c r="C14" s="464" t="s">
        <v>59</v>
      </c>
      <c r="D14" s="350"/>
      <c r="E14" s="899"/>
      <c r="F14" s="898"/>
      <c r="G14" s="350"/>
      <c r="H14" s="889">
        <v>6.5</v>
      </c>
      <c r="I14" s="350"/>
      <c r="J14" s="350"/>
      <c r="K14" s="350"/>
      <c r="L14" s="350"/>
      <c r="M14" s="899"/>
    </row>
    <row r="15" spans="2:31" ht="16.5" thickBot="1" x14ac:dyDescent="0.3">
      <c r="B15" s="898"/>
      <c r="C15" s="889">
        <v>22.25</v>
      </c>
      <c r="D15" s="350"/>
      <c r="E15" s="899"/>
      <c r="F15" s="898"/>
      <c r="G15" s="350"/>
      <c r="H15" s="900" t="s">
        <v>1844</v>
      </c>
      <c r="I15" s="350"/>
      <c r="J15" s="350"/>
      <c r="K15" s="350"/>
      <c r="L15" s="350"/>
      <c r="M15" s="899"/>
    </row>
    <row r="16" spans="2:31" x14ac:dyDescent="0.2">
      <c r="B16" s="898"/>
      <c r="C16" s="900" t="s">
        <v>1844</v>
      </c>
      <c r="D16" s="350"/>
      <c r="E16" s="899"/>
      <c r="F16" s="898"/>
      <c r="G16" s="350"/>
      <c r="H16" s="350"/>
      <c r="I16" s="350"/>
      <c r="J16" s="350"/>
      <c r="K16" s="350"/>
      <c r="L16" s="350"/>
      <c r="M16" s="899"/>
    </row>
    <row r="17" spans="2:35" x14ac:dyDescent="0.2">
      <c r="B17" s="898"/>
      <c r="C17" s="350"/>
      <c r="D17" s="350"/>
      <c r="E17" s="899"/>
      <c r="F17" s="898"/>
      <c r="G17" s="350"/>
      <c r="H17" s="350"/>
      <c r="I17" s="350"/>
      <c r="J17" s="350"/>
      <c r="K17" s="350"/>
      <c r="L17" s="350"/>
      <c r="M17" s="899"/>
    </row>
    <row r="18" spans="2:35" ht="13.5" thickBot="1" x14ac:dyDescent="0.25">
      <c r="B18" s="898"/>
      <c r="C18" s="350"/>
      <c r="D18" s="350"/>
      <c r="E18" s="901" t="s">
        <v>62</v>
      </c>
      <c r="F18" s="898"/>
      <c r="G18" s="350"/>
      <c r="H18" s="350"/>
      <c r="I18" s="350"/>
      <c r="J18" s="464" t="s">
        <v>63</v>
      </c>
      <c r="K18" s="350"/>
      <c r="L18" s="350"/>
      <c r="M18" s="907" t="s">
        <v>63</v>
      </c>
    </row>
    <row r="19" spans="2:35" ht="16.5" thickBot="1" x14ac:dyDescent="0.3">
      <c r="B19" s="898"/>
      <c r="C19" s="350"/>
      <c r="D19" s="350"/>
      <c r="E19" s="902">
        <f>Y27</f>
        <v>227.16550633813472</v>
      </c>
      <c r="F19" s="898"/>
      <c r="G19" s="464" t="s">
        <v>1802</v>
      </c>
      <c r="H19" s="350"/>
      <c r="I19" s="350"/>
      <c r="J19" s="889">
        <v>12.75</v>
      </c>
      <c r="K19" s="350"/>
      <c r="L19" s="350"/>
      <c r="M19" s="908">
        <v>12</v>
      </c>
    </row>
    <row r="20" spans="2:35" ht="16.5" thickBot="1" x14ac:dyDescent="0.3">
      <c r="B20" s="898"/>
      <c r="C20" s="350"/>
      <c r="D20" s="350"/>
      <c r="E20" s="901" t="s">
        <v>61</v>
      </c>
      <c r="F20" s="898"/>
      <c r="G20" s="889">
        <v>0.5</v>
      </c>
      <c r="H20" s="350"/>
      <c r="I20" s="350"/>
      <c r="J20" s="900" t="s">
        <v>1844</v>
      </c>
      <c r="K20" s="350"/>
      <c r="L20" s="350"/>
      <c r="M20" s="909"/>
    </row>
    <row r="21" spans="2:35" ht="16.5" thickBot="1" x14ac:dyDescent="0.3">
      <c r="B21" s="898"/>
      <c r="C21" s="350"/>
      <c r="D21" s="350"/>
      <c r="E21" s="902">
        <f>Z27</f>
        <v>338.05953862779324</v>
      </c>
      <c r="F21" s="898"/>
      <c r="G21" s="900" t="s">
        <v>1844</v>
      </c>
      <c r="H21" s="350"/>
      <c r="I21" s="350"/>
      <c r="J21" s="350"/>
      <c r="K21" s="350"/>
      <c r="L21" s="350"/>
      <c r="M21" s="899"/>
    </row>
    <row r="22" spans="2:35" ht="13.5" thickBot="1" x14ac:dyDescent="0.25">
      <c r="B22" s="898"/>
      <c r="C22" s="350"/>
      <c r="D22" s="350"/>
      <c r="E22" s="899"/>
      <c r="F22" s="898"/>
      <c r="G22" s="350"/>
      <c r="H22" s="350"/>
      <c r="I22" s="350"/>
      <c r="J22" s="350"/>
      <c r="K22" s="350"/>
      <c r="L22" s="350"/>
      <c r="M22" s="907" t="s">
        <v>1802</v>
      </c>
    </row>
    <row r="23" spans="2:35" ht="16.5" thickBot="1" x14ac:dyDescent="0.3">
      <c r="B23" s="898"/>
      <c r="C23" s="350"/>
      <c r="D23" s="350"/>
      <c r="E23" s="899"/>
      <c r="F23" s="898"/>
      <c r="G23" s="350"/>
      <c r="H23" s="350"/>
      <c r="I23" s="889">
        <v>12.75</v>
      </c>
      <c r="J23" s="350"/>
      <c r="K23" s="350"/>
      <c r="L23" s="350"/>
      <c r="M23" s="908">
        <v>0.25</v>
      </c>
      <c r="W23" s="35" t="s">
        <v>1741</v>
      </c>
    </row>
    <row r="24" spans="2:35" ht="15.75" x14ac:dyDescent="0.25">
      <c r="B24" s="898"/>
      <c r="C24" s="350"/>
      <c r="D24" s="350"/>
      <c r="E24" s="899"/>
      <c r="F24" s="898"/>
      <c r="G24" s="350"/>
      <c r="H24" s="350"/>
      <c r="I24" s="900" t="s">
        <v>1844</v>
      </c>
      <c r="J24" s="350"/>
      <c r="K24" s="350"/>
      <c r="L24" s="350"/>
      <c r="M24" s="909" t="s">
        <v>1844</v>
      </c>
      <c r="W24" s="60" t="s">
        <v>1556</v>
      </c>
      <c r="X24" s="60" t="s">
        <v>1482</v>
      </c>
      <c r="Y24" s="110" t="s">
        <v>1484</v>
      </c>
      <c r="Z24" s="110" t="s">
        <v>1484</v>
      </c>
      <c r="AA24" s="110" t="s">
        <v>1790</v>
      </c>
      <c r="AB24" s="110" t="s">
        <v>1558</v>
      </c>
      <c r="AC24" s="110" t="s">
        <v>1560</v>
      </c>
      <c r="AD24" s="110" t="s">
        <v>1790</v>
      </c>
    </row>
    <row r="25" spans="2:35" ht="16.5" thickBot="1" x14ac:dyDescent="0.3">
      <c r="B25" s="898"/>
      <c r="C25" s="350"/>
      <c r="D25" s="464" t="s">
        <v>60</v>
      </c>
      <c r="E25" s="899"/>
      <c r="F25" s="898"/>
      <c r="G25" s="350"/>
      <c r="H25" s="350"/>
      <c r="I25" s="350"/>
      <c r="J25" s="350"/>
      <c r="K25" s="350"/>
      <c r="L25" s="350"/>
      <c r="M25" s="899"/>
      <c r="W25" s="399"/>
      <c r="X25" s="399"/>
      <c r="Y25" s="400"/>
      <c r="Z25" s="400"/>
      <c r="AA25" s="400"/>
      <c r="AB25" s="400"/>
      <c r="AC25" s="400"/>
      <c r="AD25" s="400"/>
    </row>
    <row r="26" spans="2:35" ht="16.5" thickBot="1" x14ac:dyDescent="0.3">
      <c r="B26" s="898"/>
      <c r="C26" s="350"/>
      <c r="D26" s="1049">
        <v>1</v>
      </c>
      <c r="E26" s="899"/>
      <c r="F26" s="898"/>
      <c r="G26" s="910" t="s">
        <v>62</v>
      </c>
      <c r="H26" s="910" t="s">
        <v>61</v>
      </c>
      <c r="I26" s="350"/>
      <c r="J26" s="350"/>
      <c r="K26" s="350"/>
      <c r="L26" s="350"/>
      <c r="M26" s="899"/>
      <c r="W26" s="111" t="s">
        <v>1534</v>
      </c>
      <c r="X26" s="111" t="s">
        <v>1557</v>
      </c>
      <c r="Y26" s="111" t="s">
        <v>1555</v>
      </c>
      <c r="Z26" s="111" t="s">
        <v>1553</v>
      </c>
      <c r="AA26" s="112" t="s">
        <v>1791</v>
      </c>
      <c r="AB26" s="298" t="s">
        <v>1561</v>
      </c>
      <c r="AC26" s="298" t="s">
        <v>1562</v>
      </c>
      <c r="AD26" s="112" t="s">
        <v>1789</v>
      </c>
    </row>
    <row r="27" spans="2:35" ht="16.5" thickBot="1" x14ac:dyDescent="0.3">
      <c r="B27" s="903"/>
      <c r="C27" s="904"/>
      <c r="D27" s="905" t="s">
        <v>1844</v>
      </c>
      <c r="E27" s="906"/>
      <c r="F27" s="903"/>
      <c r="G27" s="911">
        <f>AB3+AB7</f>
        <v>20.842013535</v>
      </c>
      <c r="H27" s="912">
        <f>G27*3.2808399*0.4535924</f>
        <v>31.016335152699732</v>
      </c>
      <c r="I27" s="904"/>
      <c r="J27" s="904"/>
      <c r="K27" s="904"/>
      <c r="L27" s="904"/>
      <c r="M27" s="906"/>
      <c r="W27" s="109">
        <f>C15</f>
        <v>22.25</v>
      </c>
      <c r="X27" s="115">
        <f>D26</f>
        <v>1</v>
      </c>
      <c r="Y27" s="122">
        <f>AI29</f>
        <v>227.16550633813472</v>
      </c>
      <c r="Z27" s="113">
        <f>Y27*3.2808399*0.4535924</f>
        <v>338.05953862779324</v>
      </c>
      <c r="AA27" s="113">
        <f>(W27*3.14159265*12)/144</f>
        <v>5.8250363718750009</v>
      </c>
      <c r="AB27" s="113">
        <f>(((AH27*AH27)*3.14159265*12)/1728)*62.4</f>
        <v>139.5603447377344</v>
      </c>
      <c r="AC27" s="113">
        <f>AB27+Y27</f>
        <v>366.72585107586912</v>
      </c>
      <c r="AD27" s="275">
        <f>AA27*0.09290304*3.2808399</f>
        <v>1.7754710888462166</v>
      </c>
      <c r="AH27">
        <f>W27/2-X27</f>
        <v>10.125</v>
      </c>
      <c r="AI27">
        <f>(AH27*AH27*3.14159265)*12*0.28356481</f>
        <v>1095.9065346209582</v>
      </c>
    </row>
    <row r="28" spans="2:35" ht="13.5" thickTop="1" x14ac:dyDescent="0.2">
      <c r="W28" s="17" t="s">
        <v>1559</v>
      </c>
      <c r="AH28">
        <f>W27/2</f>
        <v>11.125</v>
      </c>
      <c r="AI28">
        <f>(AH28*AH28*3.14159265)*12*0.28356481</f>
        <v>1323.0720409590929</v>
      </c>
    </row>
    <row r="29" spans="2:35" ht="13.5" thickBot="1" x14ac:dyDescent="0.25">
      <c r="AI29">
        <f>AI28-AI27</f>
        <v>227.16550633813472</v>
      </c>
    </row>
    <row r="30" spans="2:35" ht="14.25" thickTop="1" thickBot="1" x14ac:dyDescent="0.25">
      <c r="B30" s="940" t="s">
        <v>64</v>
      </c>
      <c r="C30" s="914"/>
      <c r="D30" s="914"/>
      <c r="E30" s="919"/>
      <c r="F30" s="924"/>
      <c r="G30" s="931" t="s">
        <v>65</v>
      </c>
      <c r="H30" s="915"/>
      <c r="I30" s="915"/>
      <c r="J30" s="915"/>
      <c r="K30" s="913"/>
      <c r="L30" s="915"/>
      <c r="M30" s="925"/>
    </row>
    <row r="31" spans="2:35" ht="14.25" thickTop="1" thickBot="1" x14ac:dyDescent="0.25">
      <c r="B31" s="898"/>
      <c r="C31" s="350"/>
      <c r="D31" s="350"/>
      <c r="E31" s="899"/>
      <c r="F31" s="898"/>
      <c r="G31" s="350"/>
      <c r="H31" s="350"/>
      <c r="I31" s="350"/>
      <c r="J31" s="350"/>
      <c r="K31" s="350"/>
      <c r="L31" s="350"/>
      <c r="M31" s="899"/>
    </row>
    <row r="32" spans="2:35" ht="13.5" thickBot="1" x14ac:dyDescent="0.25">
      <c r="B32" s="941" t="s">
        <v>66</v>
      </c>
      <c r="C32" s="917">
        <v>4</v>
      </c>
      <c r="D32" s="350" t="s">
        <v>67</v>
      </c>
      <c r="E32" s="899"/>
      <c r="F32" s="898"/>
      <c r="G32" s="920" t="s">
        <v>68</v>
      </c>
      <c r="H32" s="916">
        <v>12.7</v>
      </c>
      <c r="I32" s="350" t="s">
        <v>69</v>
      </c>
      <c r="J32" s="350"/>
      <c r="K32" s="920"/>
      <c r="L32" s="350" t="s">
        <v>69</v>
      </c>
      <c r="M32" s="899"/>
    </row>
    <row r="33" spans="2:13" ht="13.5" thickBot="1" x14ac:dyDescent="0.25">
      <c r="B33" s="941"/>
      <c r="C33" s="350"/>
      <c r="D33" s="350"/>
      <c r="E33" s="899"/>
      <c r="F33" s="898"/>
      <c r="G33" s="350"/>
      <c r="H33" s="350"/>
      <c r="I33" s="350"/>
      <c r="J33" s="350"/>
      <c r="K33" s="920"/>
      <c r="L33" s="350"/>
      <c r="M33" s="899"/>
    </row>
    <row r="34" spans="2:13" ht="13.5" thickBot="1" x14ac:dyDescent="0.25">
      <c r="B34" s="941" t="s">
        <v>70</v>
      </c>
      <c r="C34" s="917">
        <v>6</v>
      </c>
      <c r="D34" s="350" t="s">
        <v>67</v>
      </c>
      <c r="E34" s="899"/>
      <c r="F34" s="898"/>
      <c r="G34" s="350"/>
      <c r="H34" s="350"/>
      <c r="I34" s="350"/>
      <c r="J34" s="350"/>
      <c r="K34" s="920"/>
      <c r="L34" s="350"/>
      <c r="M34" s="899"/>
    </row>
    <row r="35" spans="2:13" ht="13.5" thickBot="1" x14ac:dyDescent="0.25">
      <c r="B35" s="941"/>
      <c r="C35" s="350"/>
      <c r="D35" s="350"/>
      <c r="E35" s="899"/>
      <c r="F35" s="898"/>
      <c r="G35" s="921" t="s">
        <v>71</v>
      </c>
      <c r="H35" s="926">
        <f>ROUND((H32/25.4/2)^2*3.14159*12*490/1728,3)</f>
        <v>0.66800000000000004</v>
      </c>
      <c r="I35" s="350"/>
      <c r="J35" s="350"/>
      <c r="K35" s="920"/>
      <c r="L35" s="350"/>
      <c r="M35" s="899"/>
    </row>
    <row r="36" spans="2:13" ht="13.5" thickBot="1" x14ac:dyDescent="0.25">
      <c r="B36" s="941" t="s">
        <v>72</v>
      </c>
      <c r="C36" s="918">
        <v>0.75</v>
      </c>
      <c r="D36" s="350" t="s">
        <v>67</v>
      </c>
      <c r="E36" s="899"/>
      <c r="F36" s="898"/>
      <c r="G36" s="921" t="s">
        <v>99</v>
      </c>
      <c r="H36" s="935">
        <f>H35*3.2808399*0.4535924</f>
        <v>0.99409358156351579</v>
      </c>
      <c r="I36" s="350"/>
      <c r="J36" s="350"/>
      <c r="K36" s="920"/>
      <c r="L36" s="350"/>
      <c r="M36" s="899"/>
    </row>
    <row r="37" spans="2:13" ht="13.5" thickBot="1" x14ac:dyDescent="0.25">
      <c r="B37" s="941"/>
      <c r="C37" s="350"/>
      <c r="D37" s="350"/>
      <c r="E37" s="899"/>
      <c r="F37" s="898"/>
      <c r="G37" s="350"/>
      <c r="H37" s="350"/>
      <c r="I37" s="350"/>
      <c r="J37" s="350"/>
      <c r="K37" s="350"/>
      <c r="L37" s="350"/>
      <c r="M37" s="899"/>
    </row>
    <row r="38" spans="2:13" ht="14.25" thickTop="1" thickBot="1" x14ac:dyDescent="0.25">
      <c r="B38" s="941"/>
      <c r="C38" s="350"/>
      <c r="D38" s="350"/>
      <c r="E38" s="899"/>
      <c r="F38" s="924"/>
      <c r="G38" s="931" t="s">
        <v>73</v>
      </c>
      <c r="H38" s="915"/>
      <c r="I38" s="915"/>
      <c r="J38" s="915"/>
      <c r="K38" s="928"/>
      <c r="L38" s="915"/>
      <c r="M38" s="925"/>
    </row>
    <row r="39" spans="2:13" ht="14.25" thickTop="1" thickBot="1" x14ac:dyDescent="0.25">
      <c r="B39" s="942" t="s">
        <v>71</v>
      </c>
      <c r="C39" s="492">
        <f>ROUND(((C32+C34-C36)*12*490*C36)/1728,2)</f>
        <v>23.61</v>
      </c>
      <c r="D39" s="350"/>
      <c r="E39" s="899"/>
      <c r="F39" s="898"/>
      <c r="G39" s="350"/>
      <c r="H39" s="350"/>
      <c r="I39" s="350"/>
      <c r="J39" s="350"/>
      <c r="K39" s="350"/>
      <c r="L39" s="350"/>
      <c r="M39" s="899"/>
    </row>
    <row r="40" spans="2:13" ht="13.5" thickBot="1" x14ac:dyDescent="0.25">
      <c r="B40" s="942" t="s">
        <v>99</v>
      </c>
      <c r="C40" s="935">
        <f>C39*3.2808399*0.4535924</f>
        <v>35.135553084902099</v>
      </c>
      <c r="D40" s="350"/>
      <c r="E40" s="899"/>
      <c r="F40" s="898"/>
      <c r="G40" s="920" t="s">
        <v>68</v>
      </c>
      <c r="H40" s="916">
        <v>0.5</v>
      </c>
      <c r="I40" s="350" t="s">
        <v>67</v>
      </c>
      <c r="J40" s="350"/>
      <c r="K40" s="492"/>
      <c r="L40" s="350" t="s">
        <v>67</v>
      </c>
      <c r="M40" s="899"/>
    </row>
    <row r="41" spans="2:13" x14ac:dyDescent="0.2">
      <c r="B41" s="942" t="s">
        <v>74</v>
      </c>
      <c r="C41" s="922">
        <f>ROUND((($C$32-$C$36)*$C$36/2+$C$34*$C$34/2)/($C$32+$C$34-$C$36),2)</f>
        <v>2.08</v>
      </c>
      <c r="D41" s="492" t="s">
        <v>67</v>
      </c>
      <c r="E41" s="899"/>
      <c r="F41" s="898"/>
      <c r="G41" s="350"/>
      <c r="H41" s="350"/>
      <c r="I41" s="350"/>
      <c r="J41" s="350"/>
      <c r="K41" s="350"/>
      <c r="L41" s="350"/>
      <c r="M41" s="899"/>
    </row>
    <row r="42" spans="2:13" x14ac:dyDescent="0.2">
      <c r="B42" s="941"/>
      <c r="C42" s="922"/>
      <c r="D42" s="350"/>
      <c r="E42" s="899"/>
      <c r="F42" s="898"/>
      <c r="G42" s="350"/>
      <c r="H42" s="350"/>
      <c r="I42" s="350"/>
      <c r="J42" s="350"/>
      <c r="K42" s="350"/>
      <c r="L42" s="350"/>
      <c r="M42" s="899"/>
    </row>
    <row r="43" spans="2:13" x14ac:dyDescent="0.2">
      <c r="B43" s="942" t="s">
        <v>75</v>
      </c>
      <c r="C43" s="492">
        <f>ROUND((($C$32*$C$32/2)+($C$34-$C$36)*$C$36/2)/($C$32+$C$34-$C$36),2)</f>
        <v>1.08</v>
      </c>
      <c r="D43" s="492" t="s">
        <v>67</v>
      </c>
      <c r="E43" s="899"/>
      <c r="F43" s="898"/>
      <c r="G43" s="921" t="s">
        <v>71</v>
      </c>
      <c r="H43" s="926">
        <f>ROUND((H40/2)^2*3.14159*12*490/1728,3)</f>
        <v>0.66800000000000004</v>
      </c>
      <c r="I43" s="350"/>
      <c r="J43" s="350"/>
      <c r="K43" s="350"/>
      <c r="L43" s="350"/>
      <c r="M43" s="899"/>
    </row>
    <row r="44" spans="2:13" x14ac:dyDescent="0.2">
      <c r="B44" s="941"/>
      <c r="C44" s="492"/>
      <c r="D44" s="350"/>
      <c r="E44" s="899"/>
      <c r="F44" s="898"/>
      <c r="G44" s="921" t="s">
        <v>99</v>
      </c>
      <c r="H44" s="935">
        <f>H43*3.2808399*0.4535924</f>
        <v>0.99409358156351579</v>
      </c>
      <c r="I44" s="350"/>
      <c r="J44" s="350"/>
      <c r="K44" s="350"/>
      <c r="L44" s="350"/>
      <c r="M44" s="899"/>
    </row>
    <row r="45" spans="2:13" ht="13.5" thickBot="1" x14ac:dyDescent="0.25">
      <c r="B45" s="943"/>
      <c r="C45" s="350"/>
      <c r="D45" s="350"/>
      <c r="E45" s="899"/>
      <c r="F45" s="898"/>
      <c r="G45" s="921"/>
      <c r="H45" s="926"/>
      <c r="I45" s="350"/>
      <c r="J45" s="350"/>
      <c r="K45" s="350"/>
      <c r="L45" s="350"/>
      <c r="M45" s="899"/>
    </row>
    <row r="46" spans="2:13" ht="14.25" thickTop="1" thickBot="1" x14ac:dyDescent="0.25">
      <c r="B46" s="940" t="s">
        <v>76</v>
      </c>
      <c r="C46" s="915"/>
      <c r="D46" s="915"/>
      <c r="E46" s="925"/>
      <c r="F46" s="924"/>
      <c r="G46" s="931" t="s">
        <v>77</v>
      </c>
      <c r="H46" s="915"/>
      <c r="I46" s="915"/>
      <c r="J46" s="915"/>
      <c r="K46" s="915"/>
      <c r="L46" s="915"/>
      <c r="M46" s="925"/>
    </row>
    <row r="47" spans="2:13" ht="14.25" thickTop="1" thickBot="1" x14ac:dyDescent="0.25">
      <c r="B47" s="898"/>
      <c r="C47" s="350"/>
      <c r="D47" s="350"/>
      <c r="E47" s="899"/>
      <c r="F47" s="898"/>
      <c r="G47" s="350"/>
      <c r="H47" s="350"/>
      <c r="I47" s="350"/>
      <c r="J47" s="350"/>
      <c r="K47" s="927"/>
      <c r="L47" s="350"/>
      <c r="M47" s="899"/>
    </row>
    <row r="48" spans="2:13" ht="13.5" thickBot="1" x14ac:dyDescent="0.25">
      <c r="B48" s="941" t="s">
        <v>70</v>
      </c>
      <c r="C48" s="917">
        <v>12</v>
      </c>
      <c r="D48" s="350" t="s">
        <v>67</v>
      </c>
      <c r="E48" s="899"/>
      <c r="F48" s="898"/>
      <c r="G48" s="350" t="s">
        <v>78</v>
      </c>
      <c r="H48" s="350"/>
      <c r="I48" s="350"/>
      <c r="J48" s="350"/>
      <c r="K48" s="350"/>
      <c r="L48" s="350"/>
      <c r="M48" s="899"/>
    </row>
    <row r="49" spans="2:13" ht="13.5" thickBot="1" x14ac:dyDescent="0.25">
      <c r="B49" s="941"/>
      <c r="C49" s="350"/>
      <c r="D49" s="350"/>
      <c r="E49" s="899"/>
      <c r="F49" s="898"/>
      <c r="G49" s="350"/>
      <c r="H49" s="350"/>
      <c r="I49" s="350"/>
      <c r="J49" s="350"/>
      <c r="K49" s="350"/>
      <c r="L49" s="350"/>
      <c r="M49" s="899"/>
    </row>
    <row r="50" spans="2:13" ht="13.5" thickBot="1" x14ac:dyDescent="0.25">
      <c r="B50" s="941" t="s">
        <v>72</v>
      </c>
      <c r="C50" s="918">
        <v>0.75</v>
      </c>
      <c r="D50" s="350" t="s">
        <v>67</v>
      </c>
      <c r="E50" s="899"/>
      <c r="F50" s="898"/>
      <c r="G50" s="350" t="s">
        <v>79</v>
      </c>
      <c r="H50" s="350"/>
      <c r="I50" s="350"/>
      <c r="J50" s="350"/>
      <c r="K50" s="350"/>
      <c r="L50" s="350"/>
      <c r="M50" s="899"/>
    </row>
    <row r="51" spans="2:13" x14ac:dyDescent="0.2">
      <c r="B51" s="941"/>
      <c r="C51" s="350"/>
      <c r="D51" s="350"/>
      <c r="E51" s="899"/>
      <c r="F51" s="898"/>
      <c r="G51" s="350"/>
      <c r="H51" s="350"/>
      <c r="I51" s="350"/>
      <c r="J51" s="350"/>
      <c r="K51" s="350"/>
      <c r="L51" s="350"/>
      <c r="M51" s="899"/>
    </row>
    <row r="52" spans="2:13" x14ac:dyDescent="0.2">
      <c r="B52" s="941"/>
      <c r="C52" s="350"/>
      <c r="D52" s="350"/>
      <c r="E52" s="899"/>
      <c r="F52" s="898"/>
      <c r="G52" s="350" t="s">
        <v>80</v>
      </c>
      <c r="H52" s="350"/>
      <c r="I52" s="350"/>
      <c r="J52" s="350"/>
      <c r="K52" s="350"/>
      <c r="L52" s="350"/>
      <c r="M52" s="899"/>
    </row>
    <row r="53" spans="2:13" x14ac:dyDescent="0.2">
      <c r="B53" s="942" t="s">
        <v>71</v>
      </c>
      <c r="C53" s="492">
        <f>ROUND(C48*C50*12*490/1728,2)</f>
        <v>30.63</v>
      </c>
      <c r="D53" s="350"/>
      <c r="E53" s="899"/>
      <c r="F53" s="898"/>
      <c r="G53" s="350"/>
      <c r="H53" s="350"/>
      <c r="I53" s="350"/>
      <c r="J53" s="350"/>
      <c r="K53" s="350"/>
      <c r="L53" s="350"/>
      <c r="M53" s="899"/>
    </row>
    <row r="54" spans="2:13" x14ac:dyDescent="0.2">
      <c r="B54" s="898"/>
      <c r="C54" s="350"/>
      <c r="D54" s="350"/>
      <c r="E54" s="899"/>
      <c r="F54" s="898"/>
      <c r="G54" s="350" t="s">
        <v>81</v>
      </c>
      <c r="H54" s="350"/>
      <c r="I54" s="350"/>
      <c r="J54" s="350"/>
      <c r="K54" s="350"/>
      <c r="L54" s="350"/>
      <c r="M54" s="899"/>
    </row>
    <row r="55" spans="2:13" ht="13.5" thickBot="1" x14ac:dyDescent="0.25">
      <c r="B55" s="898"/>
      <c r="C55" s="350"/>
      <c r="D55" s="350"/>
      <c r="E55" s="899"/>
      <c r="F55" s="898"/>
      <c r="G55" s="350"/>
      <c r="H55" s="350"/>
      <c r="I55" s="350"/>
      <c r="J55" s="350"/>
      <c r="K55" s="350"/>
      <c r="L55" s="350"/>
      <c r="M55" s="899"/>
    </row>
    <row r="56" spans="2:13" ht="14.25" thickTop="1" thickBot="1" x14ac:dyDescent="0.25">
      <c r="B56" s="940" t="s">
        <v>76</v>
      </c>
      <c r="C56" s="915"/>
      <c r="D56" s="915"/>
      <c r="E56" s="925"/>
      <c r="F56" s="898"/>
      <c r="G56" s="350" t="s">
        <v>82</v>
      </c>
      <c r="H56" s="350"/>
      <c r="I56" s="350"/>
      <c r="J56" s="350"/>
      <c r="K56" s="350"/>
      <c r="L56" s="350"/>
      <c r="M56" s="899"/>
    </row>
    <row r="57" spans="2:13" ht="14.25" thickTop="1" thickBot="1" x14ac:dyDescent="0.25">
      <c r="B57" s="898"/>
      <c r="C57" s="350"/>
      <c r="D57" s="350"/>
      <c r="E57" s="899"/>
      <c r="F57" s="898"/>
      <c r="G57" s="350"/>
      <c r="H57" s="350"/>
      <c r="I57" s="350"/>
      <c r="J57" s="350"/>
      <c r="K57" s="350"/>
      <c r="L57" s="350"/>
      <c r="M57" s="899"/>
    </row>
    <row r="58" spans="2:13" ht="13.5" thickBot="1" x14ac:dyDescent="0.25">
      <c r="B58" s="941" t="s">
        <v>70</v>
      </c>
      <c r="C58" s="917">
        <v>305</v>
      </c>
      <c r="D58" s="350" t="s">
        <v>69</v>
      </c>
      <c r="E58" s="899"/>
      <c r="F58" s="898"/>
      <c r="G58" s="350" t="s">
        <v>83</v>
      </c>
      <c r="H58" s="350"/>
      <c r="I58" s="350"/>
      <c r="J58" s="350"/>
      <c r="K58" s="350"/>
      <c r="L58" s="350"/>
      <c r="M58" s="899"/>
    </row>
    <row r="59" spans="2:13" ht="13.5" thickBot="1" x14ac:dyDescent="0.25">
      <c r="B59" s="941"/>
      <c r="C59" s="350"/>
      <c r="D59" s="350"/>
      <c r="E59" s="899"/>
      <c r="F59" s="898"/>
      <c r="G59" s="350"/>
      <c r="H59" s="350"/>
      <c r="I59" s="350"/>
      <c r="J59" s="350"/>
      <c r="K59" s="350"/>
      <c r="L59" s="350"/>
      <c r="M59" s="899"/>
    </row>
    <row r="60" spans="2:13" ht="13.5" thickBot="1" x14ac:dyDescent="0.25">
      <c r="B60" s="941" t="s">
        <v>72</v>
      </c>
      <c r="C60" s="918">
        <v>3</v>
      </c>
      <c r="D60" s="350" t="s">
        <v>69</v>
      </c>
      <c r="E60" s="899"/>
      <c r="F60" s="898"/>
      <c r="G60" s="350" t="s">
        <v>84</v>
      </c>
      <c r="H60" s="350"/>
      <c r="I60" s="350"/>
      <c r="J60" s="350"/>
      <c r="K60" s="350"/>
      <c r="L60" s="350"/>
      <c r="M60" s="899"/>
    </row>
    <row r="61" spans="2:13" x14ac:dyDescent="0.2">
      <c r="B61" s="941"/>
      <c r="C61" s="350"/>
      <c r="D61" s="350"/>
      <c r="E61" s="899"/>
      <c r="F61" s="898"/>
      <c r="G61" s="350"/>
      <c r="H61" s="350"/>
      <c r="I61" s="350"/>
      <c r="J61" s="350"/>
      <c r="K61" s="350"/>
      <c r="L61" s="350"/>
      <c r="M61" s="899"/>
    </row>
    <row r="62" spans="2:13" x14ac:dyDescent="0.2">
      <c r="B62" s="941"/>
      <c r="C62" s="350"/>
      <c r="D62" s="350"/>
      <c r="E62" s="899"/>
      <c r="F62" s="898"/>
      <c r="G62" s="350" t="s">
        <v>85</v>
      </c>
      <c r="H62" s="350"/>
      <c r="I62" s="350"/>
      <c r="J62" s="350"/>
      <c r="K62" s="350"/>
      <c r="L62" s="350"/>
      <c r="M62" s="899"/>
    </row>
    <row r="63" spans="2:13" x14ac:dyDescent="0.2">
      <c r="B63" s="942" t="s">
        <v>71</v>
      </c>
      <c r="C63" s="492">
        <f>ROUND(C58*C60*0.00155*12*490/1728,2)</f>
        <v>4.83</v>
      </c>
      <c r="D63" s="350"/>
      <c r="E63" s="899"/>
      <c r="F63" s="898"/>
      <c r="G63" s="350"/>
      <c r="H63" s="350"/>
      <c r="I63" s="350"/>
      <c r="J63" s="350"/>
      <c r="K63" s="350"/>
      <c r="L63" s="350"/>
      <c r="M63" s="899"/>
    </row>
    <row r="64" spans="2:13" x14ac:dyDescent="0.2">
      <c r="B64" s="942"/>
      <c r="C64" s="492"/>
      <c r="D64" s="350"/>
      <c r="E64" s="899"/>
      <c r="F64" s="898"/>
      <c r="G64" s="350" t="s">
        <v>86</v>
      </c>
      <c r="H64" s="350"/>
      <c r="I64" s="350"/>
      <c r="J64" s="350"/>
      <c r="K64" s="350"/>
      <c r="L64" s="350"/>
      <c r="M64" s="899"/>
    </row>
    <row r="65" spans="2:13" ht="13.5" thickBot="1" x14ac:dyDescent="0.25">
      <c r="B65" s="898"/>
      <c r="C65" s="350"/>
      <c r="D65" s="350"/>
      <c r="E65" s="899"/>
      <c r="F65" s="898"/>
      <c r="G65" s="350"/>
      <c r="H65" s="350"/>
      <c r="I65" s="350"/>
      <c r="J65" s="350"/>
      <c r="K65" s="350"/>
      <c r="L65" s="350"/>
      <c r="M65" s="899"/>
    </row>
    <row r="66" spans="2:13" ht="14.25" thickTop="1" thickBot="1" x14ac:dyDescent="0.25">
      <c r="B66" s="940" t="s">
        <v>87</v>
      </c>
      <c r="C66" s="915"/>
      <c r="D66" s="915"/>
      <c r="E66" s="925"/>
      <c r="F66" s="898"/>
      <c r="G66" s="350" t="s">
        <v>88</v>
      </c>
      <c r="H66" s="350"/>
      <c r="I66" s="350"/>
      <c r="J66" s="350"/>
      <c r="K66" s="350"/>
      <c r="L66" s="350"/>
      <c r="M66" s="899"/>
    </row>
    <row r="67" spans="2:13" ht="14.25" thickTop="1" thickBot="1" x14ac:dyDescent="0.25">
      <c r="B67" s="898"/>
      <c r="C67" s="350"/>
      <c r="D67" s="350"/>
      <c r="E67" s="899"/>
      <c r="F67" s="898"/>
      <c r="G67" s="350"/>
      <c r="H67" s="350"/>
      <c r="I67" s="350"/>
      <c r="J67" s="350"/>
      <c r="K67" s="350"/>
      <c r="L67" s="350"/>
      <c r="M67" s="899"/>
    </row>
    <row r="68" spans="2:13" ht="14.25" thickTop="1" thickBot="1" x14ac:dyDescent="0.25">
      <c r="B68" s="941" t="s">
        <v>89</v>
      </c>
      <c r="C68" s="917">
        <v>12.75</v>
      </c>
      <c r="D68" s="350" t="s">
        <v>67</v>
      </c>
      <c r="E68" s="899"/>
      <c r="F68" s="934"/>
      <c r="G68" s="931" t="s">
        <v>90</v>
      </c>
      <c r="H68" s="915"/>
      <c r="I68" s="915"/>
      <c r="J68" s="915"/>
      <c r="K68" s="915"/>
      <c r="L68" s="915"/>
      <c r="M68" s="925"/>
    </row>
    <row r="69" spans="2:13" ht="13.5" thickBot="1" x14ac:dyDescent="0.25">
      <c r="B69" s="941"/>
      <c r="C69" s="350"/>
      <c r="D69" s="350"/>
      <c r="E69" s="899"/>
      <c r="F69" s="898"/>
      <c r="G69" s="350"/>
      <c r="H69" s="350"/>
      <c r="I69" s="350"/>
      <c r="J69" s="350"/>
      <c r="K69" s="350"/>
      <c r="L69" s="350"/>
      <c r="M69" s="899"/>
    </row>
    <row r="70" spans="2:13" ht="13.5" thickBot="1" x14ac:dyDescent="0.25">
      <c r="B70" s="941" t="s">
        <v>91</v>
      </c>
      <c r="C70" s="918">
        <v>0.5</v>
      </c>
      <c r="D70" s="350" t="s">
        <v>67</v>
      </c>
      <c r="E70" s="899"/>
      <c r="F70" s="898"/>
      <c r="G70" s="350" t="s">
        <v>92</v>
      </c>
      <c r="H70" s="350"/>
      <c r="I70" s="350"/>
      <c r="J70" s="350"/>
      <c r="K70" s="350"/>
      <c r="L70" s="350"/>
      <c r="M70" s="899"/>
    </row>
    <row r="71" spans="2:13" x14ac:dyDescent="0.2">
      <c r="B71" s="941"/>
      <c r="C71" s="350"/>
      <c r="D71" s="350"/>
      <c r="E71" s="899"/>
      <c r="F71" s="898"/>
      <c r="G71" s="350"/>
      <c r="H71" s="350"/>
      <c r="I71" s="350"/>
      <c r="J71" s="350"/>
      <c r="K71" s="350"/>
      <c r="L71" s="350"/>
      <c r="M71" s="899"/>
    </row>
    <row r="72" spans="2:13" x14ac:dyDescent="0.2">
      <c r="B72" s="941"/>
      <c r="C72" s="350"/>
      <c r="D72" s="350"/>
      <c r="E72" s="899"/>
      <c r="F72" s="898"/>
      <c r="G72" s="350" t="s">
        <v>93</v>
      </c>
      <c r="H72" s="350"/>
      <c r="I72" s="350"/>
      <c r="J72" s="350"/>
      <c r="K72" s="350"/>
      <c r="L72" s="350"/>
      <c r="M72" s="899"/>
    </row>
    <row r="73" spans="2:13" x14ac:dyDescent="0.2">
      <c r="B73" s="942" t="s">
        <v>71</v>
      </c>
      <c r="C73" s="492">
        <f>ROUND(3.14156*((C68/2)^2-(C68/2-C70)^2)*12*490/1728,2)</f>
        <v>65.48</v>
      </c>
      <c r="D73" s="350"/>
      <c r="E73" s="899"/>
      <c r="F73" s="898"/>
      <c r="G73" s="350"/>
      <c r="H73" s="350"/>
      <c r="I73" s="350"/>
      <c r="J73" s="350"/>
      <c r="K73" s="350"/>
      <c r="L73" s="350"/>
      <c r="M73" s="899"/>
    </row>
    <row r="74" spans="2:13" x14ac:dyDescent="0.2">
      <c r="B74" s="942" t="s">
        <v>99</v>
      </c>
      <c r="C74" s="935">
        <f>C73*3.2808399*0.4535924</f>
        <v>97.444981617932655</v>
      </c>
      <c r="D74" s="350"/>
      <c r="E74" s="899"/>
      <c r="F74" s="898"/>
      <c r="G74" s="350"/>
      <c r="H74" s="350"/>
      <c r="I74" s="350"/>
      <c r="J74" s="350"/>
      <c r="K74" s="350"/>
      <c r="L74" s="350"/>
      <c r="M74" s="899"/>
    </row>
    <row r="75" spans="2:13" x14ac:dyDescent="0.2">
      <c r="B75" s="898"/>
      <c r="C75" s="350"/>
      <c r="D75" s="350"/>
      <c r="E75" s="899"/>
      <c r="F75" s="898"/>
      <c r="G75" s="350"/>
      <c r="H75" s="350"/>
      <c r="I75" s="350"/>
      <c r="J75" s="350"/>
      <c r="K75" s="350"/>
      <c r="L75" s="350"/>
      <c r="M75" s="899"/>
    </row>
    <row r="76" spans="2:13" x14ac:dyDescent="0.2">
      <c r="B76" s="898"/>
      <c r="C76" s="350"/>
      <c r="D76" s="350"/>
      <c r="E76" s="899"/>
      <c r="F76" s="898"/>
      <c r="G76" s="350"/>
      <c r="H76" s="350"/>
      <c r="I76" s="350"/>
      <c r="J76" s="350"/>
      <c r="K76" s="350"/>
      <c r="L76" s="350"/>
      <c r="M76" s="899"/>
    </row>
    <row r="77" spans="2:13" ht="13.5" thickBot="1" x14ac:dyDescent="0.25">
      <c r="B77" s="898"/>
      <c r="C77" s="350"/>
      <c r="D77" s="350"/>
      <c r="E77" s="899"/>
      <c r="F77" s="898"/>
      <c r="G77" s="350"/>
      <c r="H77" s="350"/>
      <c r="I77" s="350"/>
      <c r="J77" s="350"/>
      <c r="K77" s="350"/>
      <c r="L77" s="350"/>
      <c r="M77" s="899"/>
    </row>
    <row r="78" spans="2:13" ht="14.25" thickTop="1" thickBot="1" x14ac:dyDescent="0.25">
      <c r="B78" s="940" t="s">
        <v>94</v>
      </c>
      <c r="C78" s="931"/>
      <c r="D78" s="931"/>
      <c r="E78" s="932"/>
      <c r="F78" s="933"/>
      <c r="G78" s="930" t="s">
        <v>95</v>
      </c>
      <c r="H78" s="931"/>
      <c r="I78" s="931"/>
      <c r="J78" s="931"/>
      <c r="K78" s="931"/>
      <c r="L78" s="931"/>
      <c r="M78" s="932"/>
    </row>
    <row r="79" spans="2:13" ht="14.25" thickTop="1" thickBot="1" x14ac:dyDescent="0.25">
      <c r="B79" s="898"/>
      <c r="C79" s="350"/>
      <c r="D79" s="350"/>
      <c r="E79" s="899"/>
      <c r="F79" s="898"/>
      <c r="G79" s="350"/>
      <c r="H79" s="350"/>
      <c r="I79" s="350"/>
      <c r="J79" s="350"/>
      <c r="K79" s="350"/>
      <c r="L79" s="350"/>
      <c r="M79" s="899"/>
    </row>
    <row r="80" spans="2:13" ht="13.5" thickBot="1" x14ac:dyDescent="0.25">
      <c r="B80" s="941" t="s">
        <v>66</v>
      </c>
      <c r="C80" s="929">
        <v>102</v>
      </c>
      <c r="D80" s="350" t="s">
        <v>29</v>
      </c>
      <c r="E80" s="899"/>
      <c r="F80" s="898"/>
      <c r="G80" s="920" t="s">
        <v>66</v>
      </c>
      <c r="H80" s="929">
        <v>305</v>
      </c>
      <c r="I80" s="350" t="s">
        <v>29</v>
      </c>
      <c r="J80" s="350"/>
      <c r="K80" s="350"/>
      <c r="L80" s="350" t="s">
        <v>29</v>
      </c>
      <c r="M80" s="899"/>
    </row>
    <row r="81" spans="2:39" ht="13.5" thickBot="1" x14ac:dyDescent="0.25">
      <c r="B81" s="941"/>
      <c r="C81" s="350"/>
      <c r="D81" s="350"/>
      <c r="E81" s="899"/>
      <c r="F81" s="898"/>
      <c r="G81" s="920"/>
      <c r="H81" s="350"/>
      <c r="I81" s="350"/>
      <c r="J81" s="350"/>
      <c r="K81" s="350"/>
      <c r="L81" s="350"/>
      <c r="M81" s="899"/>
    </row>
    <row r="82" spans="2:39" ht="13.5" thickBot="1" x14ac:dyDescent="0.25">
      <c r="B82" s="941" t="s">
        <v>72</v>
      </c>
      <c r="C82" s="929">
        <v>10</v>
      </c>
      <c r="D82" s="350" t="s">
        <v>29</v>
      </c>
      <c r="E82" s="899"/>
      <c r="F82" s="898"/>
      <c r="G82" s="920" t="s">
        <v>72</v>
      </c>
      <c r="H82" s="929">
        <v>10</v>
      </c>
      <c r="I82" s="350" t="s">
        <v>29</v>
      </c>
      <c r="J82" s="350"/>
      <c r="K82" s="350"/>
      <c r="L82" s="350" t="s">
        <v>29</v>
      </c>
      <c r="M82" s="899"/>
    </row>
    <row r="83" spans="2:39" ht="13.5" thickBot="1" x14ac:dyDescent="0.25">
      <c r="B83" s="941"/>
      <c r="C83" s="350"/>
      <c r="D83" s="350"/>
      <c r="E83" s="899"/>
      <c r="F83" s="898"/>
      <c r="G83" s="920"/>
      <c r="H83" s="350"/>
      <c r="I83" s="350"/>
      <c r="J83" s="350"/>
      <c r="K83" s="350"/>
      <c r="L83" s="350"/>
      <c r="M83" s="899"/>
    </row>
    <row r="84" spans="2:39" ht="13.5" thickBot="1" x14ac:dyDescent="0.25">
      <c r="B84" s="941" t="s">
        <v>70</v>
      </c>
      <c r="C84" s="929">
        <v>102</v>
      </c>
      <c r="D84" s="350" t="s">
        <v>29</v>
      </c>
      <c r="E84" s="899"/>
      <c r="F84" s="898"/>
      <c r="G84" s="920" t="s">
        <v>96</v>
      </c>
      <c r="H84" s="929">
        <v>102</v>
      </c>
      <c r="I84" s="350" t="s">
        <v>29</v>
      </c>
      <c r="J84" s="350"/>
      <c r="K84" s="350"/>
      <c r="L84" s="350" t="s">
        <v>29</v>
      </c>
      <c r="M84" s="899"/>
    </row>
    <row r="85" spans="2:39" ht="13.5" thickBot="1" x14ac:dyDescent="0.25">
      <c r="B85" s="898"/>
      <c r="C85" s="350"/>
      <c r="D85" s="350"/>
      <c r="E85" s="899"/>
      <c r="F85" s="898"/>
      <c r="G85" s="350"/>
      <c r="H85" s="350"/>
      <c r="I85" s="350"/>
      <c r="J85" s="350"/>
      <c r="K85" s="350"/>
      <c r="L85" s="350"/>
      <c r="M85" s="899"/>
    </row>
    <row r="86" spans="2:39" ht="13.5" thickBot="1" x14ac:dyDescent="0.25">
      <c r="B86" s="941" t="s">
        <v>72</v>
      </c>
      <c r="C86" s="929">
        <v>10</v>
      </c>
      <c r="D86" s="350" t="s">
        <v>29</v>
      </c>
      <c r="E86" s="899"/>
      <c r="F86" s="898"/>
      <c r="G86" s="920" t="s">
        <v>72</v>
      </c>
      <c r="H86" s="929">
        <v>15</v>
      </c>
      <c r="I86" s="350" t="s">
        <v>29</v>
      </c>
      <c r="J86" s="350"/>
      <c r="K86" s="350"/>
      <c r="L86" s="350" t="s">
        <v>29</v>
      </c>
      <c r="M86" s="899"/>
    </row>
    <row r="87" spans="2:39" x14ac:dyDescent="0.2">
      <c r="B87" s="898"/>
      <c r="C87" s="350"/>
      <c r="D87" s="350"/>
      <c r="E87" s="899"/>
      <c r="F87" s="898"/>
      <c r="G87" s="350"/>
      <c r="H87" s="350"/>
      <c r="I87" s="350"/>
      <c r="J87" s="350"/>
      <c r="K87" s="350"/>
      <c r="L87" s="350"/>
      <c r="M87" s="899"/>
    </row>
    <row r="88" spans="2:39" x14ac:dyDescent="0.2">
      <c r="B88" s="944" t="s">
        <v>97</v>
      </c>
      <c r="C88" s="922">
        <f>ROUND((C80*C82+(C84-C82)*C86)*7850/10^6,2)</f>
        <v>15.23</v>
      </c>
      <c r="D88" s="350"/>
      <c r="E88" s="899"/>
      <c r="F88" s="898"/>
      <c r="G88" s="492" t="s">
        <v>97</v>
      </c>
      <c r="H88" s="922">
        <f>ROUND((H80*H82+(H84-H82)*H86)*7850/10^6,2)</f>
        <v>34.78</v>
      </c>
      <c r="I88" s="350"/>
      <c r="J88" s="350"/>
      <c r="K88" s="350"/>
      <c r="L88" s="350"/>
      <c r="M88" s="899"/>
    </row>
    <row r="89" spans="2:39" x14ac:dyDescent="0.2">
      <c r="B89" s="898"/>
      <c r="C89" s="350"/>
      <c r="D89" s="350"/>
      <c r="E89" s="899"/>
      <c r="F89" s="898"/>
      <c r="G89" s="350"/>
      <c r="H89" s="350"/>
      <c r="I89" s="350"/>
      <c r="J89" s="350"/>
      <c r="K89" s="350"/>
      <c r="L89" s="350"/>
      <c r="M89" s="899"/>
    </row>
    <row r="90" spans="2:39" x14ac:dyDescent="0.2">
      <c r="B90" s="942" t="s">
        <v>74</v>
      </c>
      <c r="C90" s="923">
        <f>ROUND((($C$80*$C$82)*($C$82/2)+(($C$84-$C$82)*$C$86*($C$82+($C$84-$C$82)/2)))/($C$80*$C$82+(($C$84-$C$82)*$C$86)),0)</f>
        <v>29</v>
      </c>
      <c r="D90" s="492" t="s">
        <v>98</v>
      </c>
      <c r="E90" s="899"/>
      <c r="F90" s="898"/>
      <c r="G90" s="921" t="s">
        <v>74</v>
      </c>
      <c r="H90" s="923">
        <f>ROUND($H$84/2,0)</f>
        <v>51</v>
      </c>
      <c r="I90" s="492" t="s">
        <v>98</v>
      </c>
      <c r="J90" s="350"/>
      <c r="K90" s="350"/>
      <c r="L90" s="492" t="s">
        <v>98</v>
      </c>
      <c r="M90" s="899"/>
    </row>
    <row r="91" spans="2:39" x14ac:dyDescent="0.2">
      <c r="B91" s="941"/>
      <c r="C91" s="922"/>
      <c r="D91" s="350"/>
      <c r="E91" s="899"/>
      <c r="F91" s="898"/>
      <c r="G91" s="920"/>
      <c r="H91" s="922"/>
      <c r="I91" s="350"/>
      <c r="J91" s="350"/>
      <c r="K91" s="350"/>
      <c r="L91" s="350"/>
      <c r="M91" s="899"/>
    </row>
    <row r="92" spans="2:39" x14ac:dyDescent="0.2">
      <c r="B92" s="942" t="s">
        <v>75</v>
      </c>
      <c r="C92" s="923">
        <f>ROUND((($C$80*$C$82)*($C$80/2)+(($C$84-$C$82)*$C$86*($C$86/2)))/($C$80*$C$82+(($C$84-$C$82)*$C$86)),0)</f>
        <v>29</v>
      </c>
      <c r="D92" s="492" t="s">
        <v>98</v>
      </c>
      <c r="E92" s="899"/>
      <c r="F92" s="898"/>
      <c r="G92" s="921" t="s">
        <v>75</v>
      </c>
      <c r="H92" s="923">
        <f>ROUND((($H$80*$H$82)*($H$80/2)+(($H$84-$H$82)*$H$86*($H$86/2)))/($H$80*$H$82+(($H$84-$H$82)*$H$86)),0)</f>
        <v>107</v>
      </c>
      <c r="I92" s="492" t="s">
        <v>98</v>
      </c>
      <c r="J92" s="350"/>
      <c r="K92" s="350"/>
      <c r="L92" s="492" t="s">
        <v>98</v>
      </c>
      <c r="M92" s="899"/>
    </row>
    <row r="93" spans="2:39" ht="13.5" thickBot="1" x14ac:dyDescent="0.25">
      <c r="B93" s="903"/>
      <c r="C93" s="904"/>
      <c r="D93" s="904"/>
      <c r="E93" s="906"/>
      <c r="F93" s="903"/>
      <c r="G93" s="904"/>
      <c r="H93" s="904"/>
      <c r="I93" s="904"/>
      <c r="J93" s="904"/>
      <c r="K93" s="904"/>
      <c r="L93" s="904"/>
      <c r="M93" s="906"/>
    </row>
    <row r="94" spans="2:39" ht="14.25" thickTop="1" thickBot="1" x14ac:dyDescent="0.25">
      <c r="B94" s="940" t="s">
        <v>108</v>
      </c>
      <c r="C94" s="931"/>
      <c r="D94" s="931"/>
      <c r="E94" s="932"/>
      <c r="F94" s="930" t="s">
        <v>109</v>
      </c>
      <c r="G94" s="931"/>
      <c r="H94" s="931"/>
      <c r="I94" s="932"/>
      <c r="J94" s="915"/>
      <c r="K94" s="915"/>
      <c r="L94" s="915"/>
      <c r="M94" s="925"/>
      <c r="AK94" t="s">
        <v>101</v>
      </c>
      <c r="AL94" s="457">
        <f>C96</f>
        <v>12</v>
      </c>
      <c r="AM94">
        <f>AL94*AL94</f>
        <v>144</v>
      </c>
    </row>
    <row r="95" spans="2:39" ht="14.25" thickTop="1" thickBot="1" x14ac:dyDescent="0.25">
      <c r="B95" s="898"/>
      <c r="E95" s="897"/>
      <c r="L95" s="350"/>
      <c r="M95" s="899"/>
      <c r="AK95" t="s">
        <v>102</v>
      </c>
      <c r="AL95" s="457">
        <f>C98</f>
        <v>10.25</v>
      </c>
      <c r="AM95">
        <f>AL95*AL95</f>
        <v>105.0625</v>
      </c>
    </row>
    <row r="96" spans="2:39" ht="13.5" thickBot="1" x14ac:dyDescent="0.25">
      <c r="B96" s="898"/>
      <c r="C96" s="937">
        <v>12</v>
      </c>
      <c r="E96" s="899"/>
      <c r="H96" s="937">
        <v>304.8</v>
      </c>
      <c r="L96" s="350"/>
      <c r="M96" s="899"/>
      <c r="AK96" t="s">
        <v>103</v>
      </c>
      <c r="AL96" s="457">
        <f>C109</f>
        <v>36</v>
      </c>
      <c r="AM96">
        <f>AL96*AL96</f>
        <v>1296</v>
      </c>
    </row>
    <row r="97" spans="2:39" ht="13.5" thickBot="1" x14ac:dyDescent="0.25">
      <c r="B97" s="898"/>
      <c r="E97" s="899"/>
      <c r="H97" s="939"/>
      <c r="L97" s="350"/>
      <c r="M97" s="899"/>
      <c r="AK97" t="s">
        <v>104</v>
      </c>
      <c r="AL97" s="457">
        <f>C107</f>
        <v>34.25</v>
      </c>
      <c r="AM97">
        <f>AL97*AL97</f>
        <v>1173.0625</v>
      </c>
    </row>
    <row r="98" spans="2:39" ht="13.5" thickBot="1" x14ac:dyDescent="0.25">
      <c r="B98" s="898"/>
      <c r="C98" s="937">
        <v>10.25</v>
      </c>
      <c r="E98" s="1048">
        <f>(C96-C98)/2</f>
        <v>0.875</v>
      </c>
      <c r="H98" s="937">
        <v>260.35000000000002</v>
      </c>
      <c r="L98" s="350"/>
      <c r="M98" s="1048">
        <f>(H96-H98)/2</f>
        <v>22.224999999999994</v>
      </c>
      <c r="AK98" t="s">
        <v>105</v>
      </c>
      <c r="AL98" s="457">
        <f>E102</f>
        <v>30</v>
      </c>
      <c r="AM98">
        <f>AL98*AL98</f>
        <v>900</v>
      </c>
    </row>
    <row r="99" spans="2:39" x14ac:dyDescent="0.2">
      <c r="B99" s="898"/>
      <c r="E99" s="899"/>
      <c r="L99" s="350"/>
      <c r="M99" s="899"/>
    </row>
    <row r="100" spans="2:39" x14ac:dyDescent="0.2">
      <c r="B100" s="898"/>
      <c r="E100" s="899"/>
      <c r="L100" s="350"/>
      <c r="M100" s="899"/>
      <c r="AL100">
        <f>0.2618*AL98</f>
        <v>7.8539999999999992</v>
      </c>
    </row>
    <row r="101" spans="2:39" ht="13.5" thickBot="1" x14ac:dyDescent="0.25">
      <c r="B101" s="898"/>
      <c r="E101" s="899"/>
      <c r="L101" s="350"/>
      <c r="M101" s="899"/>
      <c r="AL101">
        <f>((AM96+(AL96*AL94)+AM94))-((AM97+(AL97*AL95+AM95)))</f>
        <v>242.8125</v>
      </c>
    </row>
    <row r="102" spans="2:39" ht="13.5" thickBot="1" x14ac:dyDescent="0.25">
      <c r="B102" s="898"/>
      <c r="E102" s="936">
        <v>30</v>
      </c>
      <c r="L102" s="350"/>
      <c r="M102" s="936">
        <v>762</v>
      </c>
      <c r="AL102">
        <f>AL100*AL101</f>
        <v>1907.0493749999998</v>
      </c>
    </row>
    <row r="103" spans="2:39" x14ac:dyDescent="0.2">
      <c r="B103" s="898"/>
      <c r="C103" s="350"/>
      <c r="D103" s="350"/>
      <c r="E103" s="909" t="s">
        <v>1802</v>
      </c>
      <c r="F103" s="350"/>
      <c r="H103" s="350"/>
      <c r="L103" s="350"/>
      <c r="M103" s="909" t="s">
        <v>98</v>
      </c>
      <c r="AL103">
        <f>AL102*0.28356481</f>
        <v>540.77209368249373</v>
      </c>
    </row>
    <row r="104" spans="2:39" x14ac:dyDescent="0.2">
      <c r="B104" s="898"/>
      <c r="C104" s="350"/>
      <c r="D104" s="350"/>
      <c r="E104" s="899"/>
      <c r="F104" s="350"/>
      <c r="H104" s="350"/>
      <c r="L104" s="350"/>
      <c r="M104" s="899"/>
    </row>
    <row r="105" spans="2:39" x14ac:dyDescent="0.2">
      <c r="B105" s="898"/>
      <c r="C105" s="350"/>
      <c r="D105" s="350"/>
      <c r="E105" s="899"/>
      <c r="F105" s="350"/>
      <c r="H105" s="350"/>
      <c r="L105" s="350"/>
      <c r="M105" s="899"/>
      <c r="AK105" t="s">
        <v>101</v>
      </c>
      <c r="AL105" s="457">
        <f>H96/25.4</f>
        <v>12.000000000000002</v>
      </c>
      <c r="AM105">
        <f>AL105*AL105</f>
        <v>144.00000000000006</v>
      </c>
    </row>
    <row r="106" spans="2:39" ht="13.5" thickBot="1" x14ac:dyDescent="0.25">
      <c r="B106" s="898"/>
      <c r="C106" s="350"/>
      <c r="D106" s="350"/>
      <c r="E106" s="899"/>
      <c r="F106" s="350"/>
      <c r="H106" s="350"/>
      <c r="L106" s="350"/>
      <c r="M106" s="899"/>
      <c r="AK106" t="s">
        <v>102</v>
      </c>
      <c r="AL106" s="457">
        <f>H98/25.4</f>
        <v>10.250000000000002</v>
      </c>
      <c r="AM106">
        <f>AL106*AL106</f>
        <v>105.06250000000004</v>
      </c>
    </row>
    <row r="107" spans="2:39" ht="13.5" thickBot="1" x14ac:dyDescent="0.25">
      <c r="B107" s="898"/>
      <c r="C107" s="937">
        <v>34.25</v>
      </c>
      <c r="D107" s="350"/>
      <c r="E107" s="901">
        <f>(C109-C107)/2</f>
        <v>0.875</v>
      </c>
      <c r="F107" s="350"/>
      <c r="H107" s="937">
        <v>869.95</v>
      </c>
      <c r="L107" s="350"/>
      <c r="M107" s="901">
        <f>(H109-H107)/2</f>
        <v>22.224999999999966</v>
      </c>
      <c r="AK107" t="s">
        <v>103</v>
      </c>
      <c r="AL107" s="457">
        <f>H109/25.4</f>
        <v>36</v>
      </c>
      <c r="AM107">
        <f>AL107*AL107</f>
        <v>1296</v>
      </c>
    </row>
    <row r="108" spans="2:39" ht="13.5" thickBot="1" x14ac:dyDescent="0.25">
      <c r="B108" s="898"/>
      <c r="C108" s="350"/>
      <c r="D108" s="350"/>
      <c r="E108" s="899"/>
      <c r="F108" s="350"/>
      <c r="H108" s="350"/>
      <c r="L108" s="350"/>
      <c r="M108" s="899"/>
      <c r="AK108" t="s">
        <v>104</v>
      </c>
      <c r="AL108" s="457">
        <f>H107/25.4</f>
        <v>34.250000000000007</v>
      </c>
      <c r="AM108">
        <f>AL108*AL108</f>
        <v>1173.0625000000005</v>
      </c>
    </row>
    <row r="109" spans="2:39" ht="13.5" thickBot="1" x14ac:dyDescent="0.25">
      <c r="B109" s="898"/>
      <c r="C109" s="937">
        <v>36</v>
      </c>
      <c r="D109" s="350"/>
      <c r="E109" s="899"/>
      <c r="F109" s="350"/>
      <c r="H109" s="937">
        <v>914.4</v>
      </c>
      <c r="L109" s="350"/>
      <c r="M109" s="899"/>
      <c r="AK109" t="s">
        <v>105</v>
      </c>
      <c r="AL109" s="457">
        <f>M102/25.4</f>
        <v>30</v>
      </c>
      <c r="AM109">
        <f>AL109*AL109</f>
        <v>900</v>
      </c>
    </row>
    <row r="110" spans="2:39" x14ac:dyDescent="0.2">
      <c r="B110" s="898"/>
      <c r="C110" s="938" t="s">
        <v>100</v>
      </c>
      <c r="D110" s="350"/>
      <c r="E110" s="899"/>
      <c r="H110" s="938" t="s">
        <v>100</v>
      </c>
      <c r="L110" s="350"/>
      <c r="M110" s="899"/>
    </row>
    <row r="111" spans="2:39" x14ac:dyDescent="0.2">
      <c r="B111" s="898"/>
      <c r="C111" s="900" t="s">
        <v>1802</v>
      </c>
      <c r="D111" s="350"/>
      <c r="E111" s="899"/>
      <c r="H111" s="900" t="s">
        <v>98</v>
      </c>
      <c r="L111" s="350"/>
      <c r="M111" s="899"/>
      <c r="AL111">
        <f>0.2618*AL109</f>
        <v>7.8539999999999992</v>
      </c>
    </row>
    <row r="112" spans="2:39" x14ac:dyDescent="0.2">
      <c r="B112" s="898"/>
      <c r="C112" s="350"/>
      <c r="D112" s="350"/>
      <c r="E112" s="899"/>
      <c r="L112" s="350"/>
      <c r="M112" s="899"/>
      <c r="AL112">
        <f>((AM107+(AL107*AL105)+AM105))-((AM108+(AL108*AL106+AM106)))</f>
        <v>242.81249999999932</v>
      </c>
    </row>
    <row r="113" spans="2:38" x14ac:dyDescent="0.2">
      <c r="B113" s="942" t="s">
        <v>106</v>
      </c>
      <c r="C113" s="492">
        <f>AL103</f>
        <v>540.77209368249373</v>
      </c>
      <c r="D113" s="350"/>
      <c r="E113" s="899"/>
      <c r="G113" s="921" t="s">
        <v>106</v>
      </c>
      <c r="H113" s="492">
        <f>AL114</f>
        <v>540.77209368249214</v>
      </c>
      <c r="L113" s="350"/>
      <c r="M113" s="899"/>
      <c r="AL113">
        <f>AL111*AL112</f>
        <v>1907.0493749999944</v>
      </c>
    </row>
    <row r="114" spans="2:38" x14ac:dyDescent="0.2">
      <c r="B114" s="942" t="s">
        <v>107</v>
      </c>
      <c r="C114" s="935">
        <f>C113*0.4535924</f>
        <v>245.29011182646718</v>
      </c>
      <c r="D114" s="350"/>
      <c r="E114" s="899"/>
      <c r="G114" s="921" t="s">
        <v>107</v>
      </c>
      <c r="H114" s="935">
        <f>H113*0.4535924</f>
        <v>245.29011182646644</v>
      </c>
      <c r="L114" s="350"/>
      <c r="M114" s="899"/>
      <c r="AL114">
        <f>AL113*0.28356481</f>
        <v>540.77209368249214</v>
      </c>
    </row>
    <row r="115" spans="2:38" ht="13.5" thickBot="1" x14ac:dyDescent="0.25">
      <c r="B115" s="903"/>
      <c r="C115" s="904"/>
      <c r="D115" s="904"/>
      <c r="E115" s="906"/>
      <c r="F115" s="904"/>
      <c r="G115" s="904"/>
      <c r="H115" s="904"/>
      <c r="L115" s="904"/>
      <c r="M115" s="906"/>
    </row>
    <row r="116" spans="2:38" ht="13.5" thickTop="1" x14ac:dyDescent="0.2"/>
  </sheetData>
  <sheetProtection password="CDD2" sheet="1" objects="1" scenarios="1"/>
  <pageMargins left="0.75" right="0.75" top="1" bottom="1" header="0.5" footer="0.5"/>
  <pageSetup orientation="portrait" verticalDpi="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Y200"/>
  <sheetViews>
    <sheetView showGridLines="0" zoomScale="75" workbookViewId="0">
      <selection activeCell="N16" sqref="N16"/>
    </sheetView>
  </sheetViews>
  <sheetFormatPr defaultRowHeight="12.75" x14ac:dyDescent="0.2"/>
  <cols>
    <col min="1" max="1" width="4" customWidth="1"/>
    <col min="2" max="2" width="4.5703125" customWidth="1"/>
    <col min="3" max="3" width="11" customWidth="1"/>
    <col min="4" max="4" width="11.7109375" bestFit="1" customWidth="1"/>
    <col min="5" max="5" width="9.28515625" customWidth="1"/>
    <col min="6" max="6" width="11.140625" customWidth="1"/>
    <col min="7" max="7" width="11.42578125" customWidth="1"/>
    <col min="8" max="8" width="9.85546875" bestFit="1" customWidth="1"/>
    <col min="9" max="9" width="10.85546875" customWidth="1"/>
    <col min="11" max="11" width="11.28515625" customWidth="1"/>
    <col min="12" max="12" width="11" customWidth="1"/>
    <col min="13" max="13" width="10.85546875" customWidth="1"/>
    <col min="14" max="14" width="11.140625" bestFit="1" customWidth="1"/>
    <col min="15" max="15" width="12.5703125" bestFit="1" customWidth="1"/>
    <col min="17" max="17" width="16.7109375" customWidth="1"/>
    <col min="18" max="18" width="9" hidden="1" customWidth="1"/>
    <col min="19" max="19" width="11.7109375" hidden="1" customWidth="1"/>
    <col min="20" max="20" width="10.28515625" hidden="1" customWidth="1"/>
    <col min="21" max="21" width="7.85546875" hidden="1" customWidth="1"/>
    <col min="22" max="22" width="13.85546875" hidden="1" customWidth="1"/>
    <col min="23" max="23" width="9.140625" hidden="1" customWidth="1"/>
    <col min="24" max="24" width="10.140625" hidden="1" customWidth="1"/>
    <col min="25" max="25" width="10.42578125" hidden="1" customWidth="1"/>
  </cols>
  <sheetData>
    <row r="1" spans="2:25" ht="20.25" x14ac:dyDescent="0.3">
      <c r="B1" s="460"/>
      <c r="C1" s="461"/>
      <c r="D1" s="478" t="s">
        <v>1854</v>
      </c>
      <c r="E1" s="461"/>
      <c r="F1" s="461"/>
      <c r="G1" s="461"/>
      <c r="H1" s="461"/>
      <c r="I1" s="461"/>
      <c r="J1" s="461"/>
      <c r="K1" s="461"/>
      <c r="L1" s="461"/>
      <c r="M1" s="461"/>
      <c r="N1" s="461"/>
      <c r="O1" s="461"/>
      <c r="P1" s="462"/>
      <c r="Q1" s="350"/>
    </row>
    <row r="2" spans="2:25" ht="20.25" x14ac:dyDescent="0.3">
      <c r="B2" s="463"/>
      <c r="C2" s="489">
        <f ca="1">NOW()</f>
        <v>42899.605034722219</v>
      </c>
      <c r="D2" s="474"/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465"/>
      <c r="Q2" s="350"/>
    </row>
    <row r="3" spans="2:25" ht="13.5" thickBot="1" x14ac:dyDescent="0.25">
      <c r="B3" s="463"/>
      <c r="C3" s="464" t="s">
        <v>1802</v>
      </c>
      <c r="D3" s="350"/>
      <c r="E3" s="350"/>
      <c r="F3" s="350"/>
      <c r="G3" s="350"/>
      <c r="H3" s="464" t="s">
        <v>1832</v>
      </c>
      <c r="I3" s="350"/>
      <c r="J3" s="350"/>
      <c r="K3" s="350"/>
      <c r="L3" s="350"/>
      <c r="M3" s="350"/>
      <c r="N3" s="350"/>
      <c r="O3" s="350"/>
      <c r="P3" s="465"/>
      <c r="Q3" s="350"/>
    </row>
    <row r="4" spans="2:25" ht="16.5" thickBot="1" x14ac:dyDescent="0.3">
      <c r="B4" s="463"/>
      <c r="C4" s="477">
        <f>X21</f>
        <v>14.448303956179691</v>
      </c>
      <c r="D4" s="350"/>
      <c r="E4" s="350"/>
      <c r="F4" s="350"/>
      <c r="G4" s="350"/>
      <c r="H4" s="847">
        <v>10</v>
      </c>
      <c r="I4" s="350"/>
      <c r="J4" s="350"/>
      <c r="K4" s="350"/>
      <c r="L4" s="350"/>
      <c r="M4" s="350"/>
      <c r="N4" s="350"/>
      <c r="O4" s="350"/>
      <c r="P4" s="465"/>
      <c r="Q4" s="350"/>
    </row>
    <row r="5" spans="2:25" ht="15.75" x14ac:dyDescent="0.25">
      <c r="B5" s="463"/>
      <c r="C5" s="350"/>
      <c r="D5" s="350"/>
      <c r="E5" s="350"/>
      <c r="F5" s="350"/>
      <c r="G5" s="350"/>
      <c r="H5" s="458" t="s">
        <v>1844</v>
      </c>
      <c r="I5" s="350"/>
      <c r="J5" s="350"/>
      <c r="K5" s="350"/>
      <c r="L5" s="350"/>
      <c r="M5" s="350"/>
      <c r="N5" s="482" t="s">
        <v>1855</v>
      </c>
      <c r="O5" s="483"/>
      <c r="P5" s="465"/>
      <c r="Q5" s="350"/>
    </row>
    <row r="6" spans="2:25" ht="13.5" thickBot="1" x14ac:dyDescent="0.25">
      <c r="B6" s="463"/>
      <c r="C6" s="350"/>
      <c r="D6" s="350"/>
      <c r="E6" s="350"/>
      <c r="F6" s="350"/>
      <c r="G6" s="350"/>
      <c r="H6" s="350"/>
      <c r="I6" s="350"/>
      <c r="J6" s="350"/>
      <c r="K6" s="350"/>
      <c r="L6" s="350"/>
      <c r="M6" s="350"/>
      <c r="N6" s="212" t="s">
        <v>1832</v>
      </c>
      <c r="O6" s="484" t="s">
        <v>1837</v>
      </c>
      <c r="P6" s="465"/>
      <c r="Q6" s="350"/>
      <c r="R6" s="457">
        <f>H4-((D19/2+2)+(L11/2+2))/12</f>
        <v>8.6927083333333339</v>
      </c>
      <c r="S6">
        <f>R6*R6</f>
        <v>75.563178168402786</v>
      </c>
    </row>
    <row r="7" spans="2:25" ht="16.5" thickBot="1" x14ac:dyDescent="0.3">
      <c r="B7" s="463"/>
      <c r="C7" s="464" t="s">
        <v>1802</v>
      </c>
      <c r="D7" s="350"/>
      <c r="E7" s="350"/>
      <c r="F7" s="350"/>
      <c r="G7" s="350"/>
      <c r="H7" s="350"/>
      <c r="I7" s="350"/>
      <c r="J7" s="350"/>
      <c r="K7" s="350"/>
      <c r="L7" s="350"/>
      <c r="M7" s="350"/>
      <c r="N7" s="485">
        <f>G19</f>
        <v>12.485344055701312</v>
      </c>
      <c r="O7" s="486">
        <f>N7/3.2808399</f>
        <v>3.8055328623933495</v>
      </c>
      <c r="P7" s="465"/>
      <c r="Q7" s="350"/>
      <c r="R7">
        <f>N15-C8/12</f>
        <v>8.9791666666666661</v>
      </c>
      <c r="S7">
        <f>R7*R7</f>
        <v>80.625434027777771</v>
      </c>
    </row>
    <row r="8" spans="2:25" ht="16.5" thickBot="1" x14ac:dyDescent="0.3">
      <c r="B8" s="463"/>
      <c r="C8" s="846">
        <v>12.25</v>
      </c>
      <c r="D8" s="350"/>
      <c r="E8" s="350"/>
      <c r="F8" s="350"/>
      <c r="G8" s="350"/>
      <c r="H8" s="350"/>
      <c r="I8" s="350"/>
      <c r="J8" s="350"/>
      <c r="K8" s="350"/>
      <c r="L8" s="350"/>
      <c r="M8" s="350"/>
      <c r="N8" s="350"/>
      <c r="O8" s="350"/>
      <c r="P8" s="465"/>
      <c r="Q8" s="350"/>
      <c r="S8">
        <f>SUM(S6:S7)</f>
        <v>156.18861219618054</v>
      </c>
    </row>
    <row r="9" spans="2:25" ht="15.75" x14ac:dyDescent="0.25">
      <c r="B9" s="463"/>
      <c r="C9" s="458" t="s">
        <v>1844</v>
      </c>
      <c r="D9" s="350"/>
      <c r="E9" s="350"/>
      <c r="F9" s="350"/>
      <c r="G9" s="350"/>
      <c r="H9" s="350"/>
      <c r="I9" s="464"/>
      <c r="J9" s="350"/>
      <c r="K9" s="350"/>
      <c r="L9" s="350"/>
      <c r="M9" s="350"/>
      <c r="N9" s="350"/>
      <c r="O9" s="350"/>
      <c r="P9" s="465"/>
      <c r="Q9" s="350"/>
      <c r="S9" s="457">
        <f>I14/12</f>
        <v>0.55208333333333337</v>
      </c>
    </row>
    <row r="10" spans="2:25" ht="13.5" thickBot="1" x14ac:dyDescent="0.25">
      <c r="B10" s="463"/>
      <c r="C10" s="350"/>
      <c r="D10" s="350"/>
      <c r="E10" s="350"/>
      <c r="F10" s="350"/>
      <c r="G10" s="350"/>
      <c r="H10" s="350"/>
      <c r="I10" s="350"/>
      <c r="J10" s="350"/>
      <c r="K10" s="350"/>
      <c r="L10" s="464" t="s">
        <v>1802</v>
      </c>
      <c r="M10" s="350"/>
      <c r="N10" s="350"/>
      <c r="O10" s="350"/>
      <c r="P10" s="465"/>
      <c r="Q10" s="350"/>
      <c r="S10">
        <f>S9*S9</f>
        <v>0.30479600694444448</v>
      </c>
    </row>
    <row r="11" spans="2:25" ht="16.5" thickBot="1" x14ac:dyDescent="0.3">
      <c r="B11" s="463"/>
      <c r="C11" s="350"/>
      <c r="D11" s="350"/>
      <c r="E11" s="350"/>
      <c r="F11" s="350"/>
      <c r="G11" s="350"/>
      <c r="H11" s="1223">
        <f>X15+Y17</f>
        <v>48.460559085547729</v>
      </c>
      <c r="I11" s="458"/>
      <c r="J11" s="350"/>
      <c r="K11" s="350"/>
      <c r="L11" s="846">
        <v>10.625</v>
      </c>
      <c r="M11" s="350"/>
      <c r="N11" s="350"/>
      <c r="O11" s="350"/>
      <c r="P11" s="465"/>
      <c r="Q11" s="350"/>
      <c r="S11">
        <f>S8-S10</f>
        <v>155.88381618923609</v>
      </c>
    </row>
    <row r="12" spans="2:25" ht="15.75" x14ac:dyDescent="0.25">
      <c r="B12" s="463"/>
      <c r="C12" s="350"/>
      <c r="D12" s="350"/>
      <c r="E12" s="350"/>
      <c r="F12" s="350"/>
      <c r="G12" s="350"/>
      <c r="H12" s="350"/>
      <c r="I12" s="350"/>
      <c r="J12" s="350"/>
      <c r="K12" s="350"/>
      <c r="L12" s="458" t="s">
        <v>1844</v>
      </c>
      <c r="M12" s="350"/>
      <c r="N12" s="350"/>
      <c r="O12" s="350"/>
      <c r="P12" s="465"/>
      <c r="Q12" s="350"/>
      <c r="S12" s="457">
        <f>SQRT(S11)</f>
        <v>12.485344055701312</v>
      </c>
    </row>
    <row r="13" spans="2:25" ht="13.5" thickBot="1" x14ac:dyDescent="0.25">
      <c r="B13" s="463"/>
      <c r="C13" s="350"/>
      <c r="D13" s="350"/>
      <c r="E13" s="350"/>
      <c r="F13" s="350"/>
      <c r="G13" s="350"/>
      <c r="H13" s="350"/>
      <c r="I13" s="464" t="s">
        <v>1802</v>
      </c>
      <c r="J13" s="350"/>
      <c r="K13" s="350"/>
      <c r="L13" s="350"/>
      <c r="M13" s="350"/>
      <c r="N13" s="350"/>
      <c r="O13" s="350"/>
      <c r="P13" s="465"/>
      <c r="Q13" s="350"/>
    </row>
    <row r="14" spans="2:25" ht="17.25" thickTop="1" thickBot="1" x14ac:dyDescent="0.3">
      <c r="B14" s="463"/>
      <c r="C14" s="350"/>
      <c r="D14" s="350"/>
      <c r="E14" s="350"/>
      <c r="F14" s="350"/>
      <c r="G14" s="350"/>
      <c r="H14" s="350"/>
      <c r="I14" s="846">
        <v>6.625</v>
      </c>
      <c r="J14" s="350"/>
      <c r="K14" s="350"/>
      <c r="L14" s="350"/>
      <c r="M14" s="350"/>
      <c r="N14" s="464" t="s">
        <v>1832</v>
      </c>
      <c r="O14" s="350"/>
      <c r="P14" s="465"/>
      <c r="Q14" s="350"/>
      <c r="S14" s="797" t="s">
        <v>33</v>
      </c>
      <c r="T14" s="798" t="s">
        <v>31</v>
      </c>
      <c r="V14" s="797" t="s">
        <v>32</v>
      </c>
      <c r="W14" s="803" t="s">
        <v>1872</v>
      </c>
      <c r="X14" s="803" t="s">
        <v>1873</v>
      </c>
      <c r="Y14" s="805" t="s">
        <v>1779</v>
      </c>
    </row>
    <row r="15" spans="2:25" ht="16.5" thickBot="1" x14ac:dyDescent="0.3">
      <c r="B15" s="463"/>
      <c r="C15" s="350"/>
      <c r="D15" s="350"/>
      <c r="E15" s="350"/>
      <c r="F15" s="350"/>
      <c r="G15" s="350"/>
      <c r="H15" s="350"/>
      <c r="I15" s="458" t="s">
        <v>1844</v>
      </c>
      <c r="J15" s="350"/>
      <c r="K15" s="350"/>
      <c r="L15" s="350"/>
      <c r="M15" s="350"/>
      <c r="N15" s="847">
        <v>10</v>
      </c>
      <c r="O15" s="350"/>
      <c r="P15" s="465"/>
      <c r="Q15" s="350"/>
      <c r="S15" s="1219">
        <f>N15-(C8/12)</f>
        <v>8.9791666666666661</v>
      </c>
      <c r="T15" s="1218">
        <f>R6</f>
        <v>8.6927083333333339</v>
      </c>
      <c r="U15" s="795"/>
      <c r="V15" s="800">
        <f>SQRT(SUMSQ(S15)+SUMSQ(T15))</f>
        <v>12.497544246618235</v>
      </c>
      <c r="W15" s="801">
        <v>90</v>
      </c>
      <c r="X15" s="811">
        <f>ATAN(S15/T15)*180/PI()</f>
        <v>45.928674302590466</v>
      </c>
      <c r="Y15" s="812">
        <f>ATAN(T15/S15)*180/PI()</f>
        <v>44.071325697409542</v>
      </c>
    </row>
    <row r="16" spans="2:25" ht="16.5" thickTop="1" x14ac:dyDescent="0.25">
      <c r="B16" s="463"/>
      <c r="C16" s="350"/>
      <c r="D16" s="350"/>
      <c r="E16" s="350"/>
      <c r="F16" s="350"/>
      <c r="G16" s="350"/>
      <c r="H16" s="350"/>
      <c r="I16" s="350"/>
      <c r="J16" s="350"/>
      <c r="K16" s="350"/>
      <c r="L16" s="350"/>
      <c r="M16" s="350"/>
      <c r="N16" s="458" t="s">
        <v>1844</v>
      </c>
      <c r="O16" s="458"/>
      <c r="P16" s="465"/>
      <c r="Q16" s="350"/>
      <c r="S16" s="797" t="s">
        <v>33</v>
      </c>
      <c r="T16" s="798" t="s">
        <v>31</v>
      </c>
      <c r="V16" s="797" t="s">
        <v>32</v>
      </c>
      <c r="W16" s="803" t="s">
        <v>1872</v>
      </c>
      <c r="X16" s="803" t="s">
        <v>1873</v>
      </c>
      <c r="Y16" s="805" t="s">
        <v>1779</v>
      </c>
    </row>
    <row r="17" spans="2:25" ht="16.5" thickBot="1" x14ac:dyDescent="0.3">
      <c r="B17" s="463"/>
      <c r="C17" s="350"/>
      <c r="D17" s="350"/>
      <c r="E17" s="350"/>
      <c r="F17" s="350"/>
      <c r="G17" s="350"/>
      <c r="H17" s="350"/>
      <c r="I17" s="350"/>
      <c r="J17" s="350"/>
      <c r="K17" s="350"/>
      <c r="L17" s="350"/>
      <c r="M17" s="350"/>
      <c r="N17" s="350"/>
      <c r="O17" s="350"/>
      <c r="P17" s="465"/>
      <c r="Q17" s="350"/>
      <c r="S17" s="1219">
        <f>S12</f>
        <v>12.485344055701312</v>
      </c>
      <c r="T17" s="1218">
        <f>I14/12</f>
        <v>0.55208333333333337</v>
      </c>
      <c r="U17" s="795"/>
      <c r="V17" s="800">
        <f>SQRT(SUMSQ(S17)+SUMSQ(T17))</f>
        <v>12.497544246618235</v>
      </c>
      <c r="W17" s="801">
        <v>90</v>
      </c>
      <c r="X17" s="811">
        <f>ATAN(S17/T17)*180/PI()</f>
        <v>87.468115217042737</v>
      </c>
      <c r="Y17" s="812">
        <f>ATAN(T17/S17)*180/PI()</f>
        <v>2.531884782957265</v>
      </c>
    </row>
    <row r="18" spans="2:25" ht="17.25" thickTop="1" thickBot="1" x14ac:dyDescent="0.3">
      <c r="B18" s="463"/>
      <c r="C18" s="350"/>
      <c r="D18" s="464" t="s">
        <v>1802</v>
      </c>
      <c r="E18" s="350"/>
      <c r="F18" s="350"/>
      <c r="G18" s="464" t="s">
        <v>1832</v>
      </c>
      <c r="H18" s="350"/>
      <c r="I18" s="350"/>
      <c r="J18" s="350"/>
      <c r="K18" s="350"/>
      <c r="L18" s="350"/>
      <c r="M18" s="350"/>
      <c r="N18" s="350"/>
      <c r="O18" s="350"/>
      <c r="P18" s="465"/>
      <c r="Q18" s="350"/>
      <c r="S18" s="797" t="s">
        <v>33</v>
      </c>
      <c r="T18" s="805" t="s">
        <v>1779</v>
      </c>
      <c r="V18" s="797" t="s">
        <v>32</v>
      </c>
      <c r="W18" s="803" t="s">
        <v>1872</v>
      </c>
      <c r="X18" s="804" t="s">
        <v>31</v>
      </c>
      <c r="Y18" s="806" t="s">
        <v>1873</v>
      </c>
    </row>
    <row r="19" spans="2:25" ht="16.5" thickBot="1" x14ac:dyDescent="0.3">
      <c r="B19" s="463"/>
      <c r="C19" s="350"/>
      <c r="D19" s="846">
        <v>12.75</v>
      </c>
      <c r="E19" s="350"/>
      <c r="F19" s="350"/>
      <c r="G19" s="459">
        <f>S12</f>
        <v>12.485344055701312</v>
      </c>
      <c r="H19" s="350"/>
      <c r="I19" s="350"/>
      <c r="J19" s="350"/>
      <c r="K19" s="350"/>
      <c r="L19" s="350"/>
      <c r="M19" s="350"/>
      <c r="N19" s="350"/>
      <c r="O19" s="350"/>
      <c r="P19" s="465"/>
      <c r="Q19" s="350"/>
      <c r="S19" s="1220">
        <f>I14/2</f>
        <v>3.3125</v>
      </c>
      <c r="T19" s="1221">
        <f>90-H11</f>
        <v>41.539440914452271</v>
      </c>
      <c r="U19" s="795"/>
      <c r="V19" s="800">
        <f>S19/COS(T19*PI()/180)</f>
        <v>4.425521172225876</v>
      </c>
      <c r="W19" s="801">
        <v>90</v>
      </c>
      <c r="X19" s="802">
        <f>S19*TAN(T19*PI()/180)</f>
        <v>2.9347199859304278</v>
      </c>
      <c r="Y19" s="812">
        <f>90-T19</f>
        <v>48.460559085547729</v>
      </c>
    </row>
    <row r="20" spans="2:25" ht="16.5" thickTop="1" x14ac:dyDescent="0.25">
      <c r="B20" s="463"/>
      <c r="C20" s="350"/>
      <c r="D20" s="458" t="s">
        <v>1844</v>
      </c>
      <c r="E20" s="350"/>
      <c r="F20" s="350"/>
      <c r="G20" s="350"/>
      <c r="H20" s="350"/>
      <c r="I20" s="350"/>
      <c r="J20" s="350"/>
      <c r="K20" s="350"/>
      <c r="L20" s="350"/>
      <c r="M20" s="350"/>
      <c r="N20" s="350"/>
      <c r="O20" s="350"/>
      <c r="P20" s="465"/>
      <c r="Q20" s="350"/>
      <c r="S20" s="797" t="s">
        <v>33</v>
      </c>
      <c r="T20" s="805" t="s">
        <v>1779</v>
      </c>
      <c r="V20" s="797" t="s">
        <v>32</v>
      </c>
      <c r="W20" s="803" t="s">
        <v>1872</v>
      </c>
      <c r="X20" s="804" t="s">
        <v>31</v>
      </c>
      <c r="Y20" s="806" t="s">
        <v>1873</v>
      </c>
    </row>
    <row r="21" spans="2:25" ht="16.5" thickBot="1" x14ac:dyDescent="0.3">
      <c r="B21" s="463"/>
      <c r="C21" s="350"/>
      <c r="D21" s="350"/>
      <c r="E21" s="350"/>
      <c r="F21" s="350"/>
      <c r="G21" s="350"/>
      <c r="H21" s="350"/>
      <c r="I21" s="350"/>
      <c r="J21" s="350"/>
      <c r="K21" s="350"/>
      <c r="L21" s="350"/>
      <c r="M21" s="350"/>
      <c r="N21" s="350"/>
      <c r="O21" s="350"/>
      <c r="P21" s="465"/>
      <c r="Q21" s="350"/>
      <c r="S21" s="841">
        <f>V19+2+(D19/2)</f>
        <v>12.800521172225876</v>
      </c>
      <c r="T21" s="1221">
        <f>H11</f>
        <v>48.460559085547729</v>
      </c>
      <c r="U21" s="795"/>
      <c r="V21" s="800">
        <f>S21/COS(T21*PI()/180)</f>
        <v>19.303026433457543</v>
      </c>
      <c r="W21" s="801">
        <v>90</v>
      </c>
      <c r="X21" s="802">
        <f>S21*TAN(T21*PI()/180)</f>
        <v>14.448303956179691</v>
      </c>
      <c r="Y21" s="812">
        <f>90-T21</f>
        <v>41.539440914452271</v>
      </c>
    </row>
    <row r="22" spans="2:25" ht="17.25" thickTop="1" thickBot="1" x14ac:dyDescent="0.3">
      <c r="B22" s="463"/>
      <c r="C22" s="350"/>
      <c r="D22" s="350"/>
      <c r="E22" s="350"/>
      <c r="F22" s="350"/>
      <c r="G22" s="350"/>
      <c r="H22" s="350"/>
      <c r="I22" s="350"/>
      <c r="J22" s="350"/>
      <c r="K22" s="350"/>
      <c r="L22" s="464" t="s">
        <v>1802</v>
      </c>
      <c r="M22" s="350"/>
      <c r="N22" s="350"/>
      <c r="O22" s="350"/>
      <c r="P22" s="465"/>
      <c r="Q22" s="350"/>
      <c r="S22" s="797" t="s">
        <v>33</v>
      </c>
      <c r="T22" s="805" t="s">
        <v>1779</v>
      </c>
      <c r="V22" s="797" t="s">
        <v>32</v>
      </c>
      <c r="W22" s="803" t="s">
        <v>1872</v>
      </c>
      <c r="X22" s="804" t="s">
        <v>31</v>
      </c>
      <c r="Y22" s="806" t="s">
        <v>1873</v>
      </c>
    </row>
    <row r="23" spans="2:25" ht="16.5" thickBot="1" x14ac:dyDescent="0.3">
      <c r="B23" s="463"/>
      <c r="C23" s="350"/>
      <c r="D23" s="350"/>
      <c r="E23" s="350"/>
      <c r="F23" s="350"/>
      <c r="G23" s="350"/>
      <c r="H23" s="350"/>
      <c r="I23" s="350"/>
      <c r="J23" s="350"/>
      <c r="K23" s="350"/>
      <c r="L23" s="477">
        <f>X23</f>
        <v>13.249030680748556</v>
      </c>
      <c r="M23" s="350"/>
      <c r="N23" s="1222"/>
      <c r="O23" s="350"/>
      <c r="P23" s="465"/>
      <c r="Q23" s="350"/>
      <c r="S23" s="841">
        <f>V19+2+(L11/2)</f>
        <v>11.738021172225876</v>
      </c>
      <c r="T23" s="1221">
        <f>T21</f>
        <v>48.460559085547729</v>
      </c>
      <c r="U23" s="795"/>
      <c r="V23" s="800">
        <f>S23/COS(T23*PI()/180)</f>
        <v>17.700789672188058</v>
      </c>
      <c r="W23" s="801">
        <v>90</v>
      </c>
      <c r="X23" s="802">
        <f>S23*TAN(T23*PI()/180)</f>
        <v>13.249030680748556</v>
      </c>
      <c r="Y23" s="812">
        <f>90-T23</f>
        <v>41.539440914452271</v>
      </c>
    </row>
    <row r="24" spans="2:25" x14ac:dyDescent="0.2">
      <c r="B24" s="463"/>
      <c r="C24" s="350"/>
      <c r="D24" s="350"/>
      <c r="E24" s="350"/>
      <c r="F24" s="350"/>
      <c r="G24" s="350"/>
      <c r="H24" s="350"/>
      <c r="I24" s="350"/>
      <c r="J24" s="350"/>
      <c r="K24" s="350"/>
      <c r="L24" s="350"/>
      <c r="M24" s="350"/>
      <c r="N24" s="1222"/>
      <c r="O24" s="350"/>
      <c r="P24" s="465"/>
      <c r="Q24" s="350"/>
    </row>
    <row r="25" spans="2:25" x14ac:dyDescent="0.2">
      <c r="B25" s="463"/>
      <c r="C25" s="350"/>
      <c r="D25" s="350"/>
      <c r="E25" s="350"/>
      <c r="F25" s="350"/>
      <c r="G25" s="350"/>
      <c r="H25" s="350"/>
      <c r="I25" s="350"/>
      <c r="J25" s="350"/>
      <c r="K25" s="350"/>
      <c r="L25" s="350"/>
      <c r="M25" s="350"/>
      <c r="N25" s="1222"/>
      <c r="O25" s="350"/>
      <c r="P25" s="465"/>
      <c r="Q25" s="350"/>
    </row>
    <row r="26" spans="2:25" x14ac:dyDescent="0.2">
      <c r="B26" s="463"/>
      <c r="C26" s="350"/>
      <c r="D26" s="350"/>
      <c r="E26" s="350"/>
      <c r="F26" s="350"/>
      <c r="G26" s="350"/>
      <c r="H26" s="350"/>
      <c r="I26" s="350"/>
      <c r="J26" s="350"/>
      <c r="K26" s="350"/>
      <c r="L26" s="350"/>
      <c r="M26" s="350"/>
      <c r="N26" s="350"/>
      <c r="O26" s="350"/>
      <c r="P26" s="465"/>
      <c r="Q26" s="350"/>
    </row>
    <row r="27" spans="2:25" x14ac:dyDescent="0.2">
      <c r="B27" s="463"/>
      <c r="C27" s="350"/>
      <c r="D27" s="350"/>
      <c r="E27" s="350"/>
      <c r="F27" s="350"/>
      <c r="G27" s="350"/>
      <c r="H27" s="350"/>
      <c r="I27" s="350"/>
      <c r="J27" s="350"/>
      <c r="K27" s="350"/>
      <c r="L27" s="350"/>
      <c r="M27" s="350"/>
      <c r="N27" s="350"/>
      <c r="O27" s="350"/>
      <c r="P27" s="465"/>
      <c r="Q27" s="350"/>
    </row>
    <row r="28" spans="2:25" x14ac:dyDescent="0.2">
      <c r="B28" s="463"/>
      <c r="C28" s="350"/>
      <c r="D28" s="350"/>
      <c r="E28" s="350"/>
      <c r="F28" s="350"/>
      <c r="G28" s="350"/>
      <c r="H28" s="350"/>
      <c r="I28" s="350"/>
      <c r="J28" s="350"/>
      <c r="K28" s="350"/>
      <c r="L28" s="350"/>
      <c r="M28" s="350"/>
      <c r="N28" s="350"/>
      <c r="O28" s="350"/>
      <c r="P28" s="465"/>
      <c r="Q28" s="350"/>
    </row>
    <row r="29" spans="2:25" x14ac:dyDescent="0.2">
      <c r="B29" s="463"/>
      <c r="C29" s="350"/>
      <c r="D29" s="350"/>
      <c r="E29" s="350"/>
      <c r="F29" s="350"/>
      <c r="G29" s="350"/>
      <c r="H29" s="350"/>
      <c r="I29" s="350"/>
      <c r="J29" s="350"/>
      <c r="K29" s="350"/>
      <c r="L29" s="350"/>
      <c r="M29" s="350"/>
      <c r="N29" s="350"/>
      <c r="O29" s="350"/>
      <c r="P29" s="465"/>
      <c r="Q29" s="350"/>
    </row>
    <row r="30" spans="2:25" ht="13.5" thickBot="1" x14ac:dyDescent="0.25">
      <c r="B30" s="466"/>
      <c r="C30" s="467"/>
      <c r="D30" s="467"/>
      <c r="E30" s="467"/>
      <c r="F30" s="467"/>
      <c r="G30" s="467"/>
      <c r="H30" s="467"/>
      <c r="I30" s="467"/>
      <c r="J30" s="467"/>
      <c r="K30" s="467"/>
      <c r="L30" s="467"/>
      <c r="M30" s="467"/>
      <c r="N30" s="467"/>
      <c r="O30" s="467"/>
      <c r="P30" s="468"/>
      <c r="Q30" s="350"/>
    </row>
    <row r="31" spans="2:25" x14ac:dyDescent="0.2">
      <c r="B31" s="460"/>
      <c r="C31" s="461"/>
      <c r="D31" s="461"/>
      <c r="E31" s="461"/>
      <c r="F31" s="461"/>
      <c r="G31" s="461"/>
      <c r="H31" s="461"/>
      <c r="I31" s="461"/>
      <c r="J31" s="461"/>
      <c r="K31" s="461"/>
      <c r="L31" s="461"/>
      <c r="M31" s="461"/>
      <c r="N31" s="461"/>
      <c r="O31" s="461"/>
      <c r="P31" s="462"/>
      <c r="Q31" s="350"/>
    </row>
    <row r="32" spans="2:25" ht="20.25" x14ac:dyDescent="0.3">
      <c r="B32" s="463"/>
      <c r="C32" s="350"/>
      <c r="D32" s="479" t="s">
        <v>1856</v>
      </c>
      <c r="E32" s="350"/>
      <c r="F32" s="350"/>
      <c r="G32" s="350"/>
      <c r="H32" s="350"/>
      <c r="I32" s="350"/>
      <c r="J32" s="350"/>
      <c r="K32" s="350"/>
      <c r="L32" s="350"/>
      <c r="M32" s="350"/>
      <c r="N32" s="350"/>
      <c r="O32" s="350"/>
      <c r="P32" s="465"/>
      <c r="Q32" s="350"/>
    </row>
    <row r="33" spans="2:25" ht="13.5" thickBot="1" x14ac:dyDescent="0.25">
      <c r="B33" s="463"/>
      <c r="C33" s="350"/>
      <c r="D33" s="475"/>
      <c r="E33" s="350"/>
      <c r="F33" s="350"/>
      <c r="G33" s="350"/>
      <c r="H33" s="464" t="s">
        <v>1832</v>
      </c>
      <c r="I33" s="350"/>
      <c r="J33" s="350"/>
      <c r="K33" s="350"/>
      <c r="L33" s="350"/>
      <c r="M33" s="350"/>
      <c r="N33" s="413"/>
      <c r="O33" s="301"/>
      <c r="P33" s="465"/>
      <c r="Q33" s="350"/>
    </row>
    <row r="34" spans="2:25" ht="16.5" thickBot="1" x14ac:dyDescent="0.3">
      <c r="B34" s="463"/>
      <c r="C34" s="350"/>
      <c r="D34" s="464" t="s">
        <v>1802</v>
      </c>
      <c r="E34" s="350"/>
      <c r="F34" s="350"/>
      <c r="G34" s="350"/>
      <c r="H34" s="847">
        <v>25</v>
      </c>
      <c r="I34" s="350"/>
      <c r="J34" s="350"/>
      <c r="K34" s="350"/>
      <c r="L34" s="350"/>
      <c r="M34" s="350"/>
      <c r="N34" s="487"/>
      <c r="O34" s="488"/>
      <c r="P34" s="465"/>
      <c r="Q34" s="350"/>
      <c r="T34" s="472">
        <f>H34*H34</f>
        <v>625</v>
      </c>
      <c r="U34" s="471">
        <f>(C40-D35)/12</f>
        <v>1.5833333333333333</v>
      </c>
    </row>
    <row r="35" spans="2:25" ht="16.5" thickBot="1" x14ac:dyDescent="0.3">
      <c r="B35" s="463"/>
      <c r="C35" s="350"/>
      <c r="D35" s="846">
        <v>5</v>
      </c>
      <c r="E35" s="350"/>
      <c r="F35" s="350"/>
      <c r="G35" s="350"/>
      <c r="H35" s="458" t="s">
        <v>1844</v>
      </c>
      <c r="I35" s="350"/>
      <c r="J35" s="350"/>
      <c r="K35" s="350"/>
      <c r="L35" s="350"/>
      <c r="M35" s="350"/>
      <c r="N35" s="350"/>
      <c r="O35" s="350"/>
      <c r="P35" s="465"/>
      <c r="Q35" s="350"/>
      <c r="S35" s="472">
        <f>N47-D35/12+M59/12</f>
        <v>25.583333333333332</v>
      </c>
      <c r="T35" s="472">
        <f>S35*S35</f>
        <v>654.50694444444434</v>
      </c>
    </row>
    <row r="36" spans="2:25" ht="15.75" x14ac:dyDescent="0.25">
      <c r="B36" s="463"/>
      <c r="C36" s="350"/>
      <c r="D36" s="458" t="s">
        <v>1844</v>
      </c>
      <c r="E36" s="350"/>
      <c r="F36" s="350"/>
      <c r="G36" s="350"/>
      <c r="H36" s="469"/>
      <c r="I36" s="350"/>
      <c r="J36" s="350"/>
      <c r="K36" s="350"/>
      <c r="L36" s="350"/>
      <c r="M36" s="350"/>
      <c r="N36" s="482" t="s">
        <v>1855</v>
      </c>
      <c r="O36" s="483"/>
      <c r="P36" s="465"/>
      <c r="Q36" s="350"/>
      <c r="T36" s="457">
        <f>SUM(T34:T35)</f>
        <v>1279.5069444444443</v>
      </c>
    </row>
    <row r="37" spans="2:25" ht="16.5" thickBot="1" x14ac:dyDescent="0.3">
      <c r="B37" s="463"/>
      <c r="C37" s="350"/>
      <c r="D37" s="350"/>
      <c r="E37" s="350"/>
      <c r="F37" s="350"/>
      <c r="G37" s="464" t="s">
        <v>1802</v>
      </c>
      <c r="H37" s="458"/>
      <c r="I37" s="350"/>
      <c r="J37" s="350"/>
      <c r="K37" s="350"/>
      <c r="L37" s="350"/>
      <c r="M37" s="350"/>
      <c r="N37" s="212" t="s">
        <v>1832</v>
      </c>
      <c r="O37" s="484" t="s">
        <v>1837</v>
      </c>
      <c r="P37" s="465"/>
      <c r="Q37" s="350"/>
    </row>
    <row r="38" spans="2:25" ht="16.5" thickBot="1" x14ac:dyDescent="0.3">
      <c r="B38" s="463"/>
      <c r="C38" s="350"/>
      <c r="D38" s="350"/>
      <c r="E38" s="350"/>
      <c r="F38" s="350"/>
      <c r="G38" s="310">
        <f>U42*12</f>
        <v>18.566775244299674</v>
      </c>
      <c r="H38" s="350"/>
      <c r="I38" s="350"/>
      <c r="J38" s="350"/>
      <c r="K38" s="350"/>
      <c r="L38" s="350"/>
      <c r="M38" s="350"/>
      <c r="N38" s="485">
        <f>G51</f>
        <v>33.196495710289391</v>
      </c>
      <c r="O38" s="486">
        <f>N38/3.2808399</f>
        <v>10.118291877116402</v>
      </c>
      <c r="P38" s="465"/>
      <c r="Q38" s="350"/>
      <c r="R38" s="457"/>
    </row>
    <row r="39" spans="2:25" ht="13.5" thickBot="1" x14ac:dyDescent="0.25">
      <c r="B39" s="463"/>
      <c r="C39" s="464" t="s">
        <v>1802</v>
      </c>
      <c r="D39" s="350"/>
      <c r="E39" s="350"/>
      <c r="F39" s="350"/>
      <c r="G39" s="350"/>
      <c r="H39" s="464" t="s">
        <v>1832</v>
      </c>
      <c r="I39" s="350"/>
      <c r="J39" s="350"/>
      <c r="K39" s="350"/>
      <c r="L39" s="350"/>
      <c r="M39" s="350"/>
      <c r="N39" s="350"/>
      <c r="O39" s="350"/>
      <c r="P39" s="465"/>
      <c r="Q39" s="350"/>
      <c r="T39" s="473" t="s">
        <v>1845</v>
      </c>
      <c r="U39" s="15">
        <f>(C40-D35)/12</f>
        <v>1.5833333333333333</v>
      </c>
      <c r="V39" s="472">
        <f>(I46/2)/12</f>
        <v>0.53125</v>
      </c>
    </row>
    <row r="40" spans="2:25" ht="16.5" thickBot="1" x14ac:dyDescent="0.3">
      <c r="B40" s="463"/>
      <c r="C40" s="846">
        <v>24</v>
      </c>
      <c r="D40" s="350"/>
      <c r="E40" s="350"/>
      <c r="F40" s="350"/>
      <c r="G40" s="350"/>
      <c r="H40" s="477">
        <f>H34-(G38+K50)/12</f>
        <v>22.475570032573291</v>
      </c>
      <c r="I40" s="350"/>
      <c r="J40" s="350"/>
      <c r="K40" s="350"/>
      <c r="L40" s="350"/>
      <c r="M40" s="350"/>
      <c r="N40" s="350"/>
      <c r="O40" s="350"/>
      <c r="P40" s="465"/>
      <c r="Q40" s="350"/>
      <c r="T40" s="473" t="s">
        <v>1846</v>
      </c>
      <c r="U40" s="472">
        <f>S35</f>
        <v>25.583333333333332</v>
      </c>
    </row>
    <row r="41" spans="2:25" ht="15.75" x14ac:dyDescent="0.25">
      <c r="B41" s="463"/>
      <c r="C41" s="458" t="s">
        <v>1844</v>
      </c>
      <c r="D41" s="350"/>
      <c r="E41" s="350"/>
      <c r="F41" s="350"/>
      <c r="G41" s="350"/>
      <c r="H41" s="350"/>
      <c r="I41" s="464"/>
      <c r="J41" s="350"/>
      <c r="K41" s="350"/>
      <c r="L41" s="350"/>
      <c r="M41" s="350"/>
      <c r="N41" s="350"/>
      <c r="O41" s="350"/>
      <c r="P41" s="465"/>
      <c r="Q41" s="350"/>
      <c r="S41" s="457"/>
      <c r="T41" s="473" t="s">
        <v>1847</v>
      </c>
      <c r="U41" s="457">
        <f>H34</f>
        <v>25</v>
      </c>
    </row>
    <row r="42" spans="2:25" ht="13.5" thickBot="1" x14ac:dyDescent="0.25">
      <c r="B42" s="463"/>
      <c r="C42" s="350"/>
      <c r="D42" s="350"/>
      <c r="E42" s="350"/>
      <c r="F42" s="350"/>
      <c r="G42" s="350"/>
      <c r="H42" s="350"/>
      <c r="I42" s="350"/>
      <c r="J42" s="350"/>
      <c r="K42" s="350"/>
      <c r="L42" s="464"/>
      <c r="M42" s="350"/>
      <c r="N42" s="350"/>
      <c r="O42" s="350"/>
      <c r="P42" s="465"/>
      <c r="Q42" s="350"/>
      <c r="T42" s="473" t="s">
        <v>1848</v>
      </c>
      <c r="U42" s="471">
        <f>(U41/U40)*U39</f>
        <v>1.5472312703583062</v>
      </c>
    </row>
    <row r="43" spans="2:25" ht="16.5" thickBot="1" x14ac:dyDescent="0.3">
      <c r="B43" s="463"/>
      <c r="C43" s="464" t="s">
        <v>1802</v>
      </c>
      <c r="D43" s="350"/>
      <c r="E43" s="350"/>
      <c r="F43" s="350"/>
      <c r="G43" s="350"/>
      <c r="H43" s="1223">
        <f>X48</f>
        <v>44.339287185224734</v>
      </c>
      <c r="I43" s="458"/>
      <c r="J43" s="350"/>
      <c r="K43" s="350"/>
      <c r="L43" s="470"/>
      <c r="M43" s="350"/>
      <c r="N43" s="350"/>
      <c r="O43" s="350"/>
      <c r="P43" s="465"/>
      <c r="Q43" s="350"/>
    </row>
    <row r="44" spans="2:25" ht="16.5" thickBot="1" x14ac:dyDescent="0.3">
      <c r="B44" s="463"/>
      <c r="C44" s="481">
        <f>(U42-U46)*12</f>
        <v>9.6533549898031268</v>
      </c>
      <c r="D44" s="350"/>
      <c r="E44" s="350"/>
      <c r="F44" s="350"/>
      <c r="G44" s="350"/>
      <c r="H44" s="350"/>
      <c r="I44" s="350"/>
      <c r="J44" s="350"/>
      <c r="K44" s="350"/>
      <c r="L44" s="458"/>
      <c r="M44" s="350"/>
      <c r="N44" s="350"/>
      <c r="O44" s="350"/>
      <c r="P44" s="465"/>
      <c r="Q44" s="350"/>
      <c r="S44" s="457"/>
      <c r="T44" s="473" t="s">
        <v>1849</v>
      </c>
      <c r="U44" s="472">
        <f>V39</f>
        <v>0.53125</v>
      </c>
      <c r="V44">
        <f>U44*U44+U45*U45</f>
        <v>0.55172958773103686</v>
      </c>
    </row>
    <row r="45" spans="2:25" ht="13.5" thickBot="1" x14ac:dyDescent="0.25">
      <c r="B45" s="463"/>
      <c r="C45" s="350"/>
      <c r="D45" s="350"/>
      <c r="E45" s="350"/>
      <c r="F45" s="350"/>
      <c r="G45" s="350"/>
      <c r="H45" s="350"/>
      <c r="I45" s="464" t="s">
        <v>1802</v>
      </c>
      <c r="J45" s="350"/>
      <c r="K45" s="350"/>
      <c r="L45" s="350"/>
      <c r="M45" s="350"/>
      <c r="N45" s="350"/>
      <c r="O45" s="350"/>
      <c r="P45" s="465"/>
      <c r="Q45" s="350"/>
      <c r="T45" s="473" t="s">
        <v>1850</v>
      </c>
      <c r="U45">
        <f>(U41/U40)*V39</f>
        <v>0.51913680781758953</v>
      </c>
    </row>
    <row r="46" spans="2:25" ht="15.75" thickBot="1" x14ac:dyDescent="0.3">
      <c r="B46" s="463"/>
      <c r="C46" s="350"/>
      <c r="D46" s="350"/>
      <c r="E46" s="350"/>
      <c r="F46" s="350"/>
      <c r="G46" s="350"/>
      <c r="H46" s="350"/>
      <c r="I46" s="848">
        <v>12.75</v>
      </c>
      <c r="J46" s="350"/>
      <c r="K46" s="350"/>
      <c r="L46" s="350"/>
      <c r="M46" s="350"/>
      <c r="N46" s="464" t="s">
        <v>1832</v>
      </c>
      <c r="O46" s="350"/>
      <c r="P46" s="465"/>
      <c r="Q46" s="350"/>
      <c r="T46" s="473" t="s">
        <v>1851</v>
      </c>
      <c r="U46">
        <f>SQRT(V44)</f>
        <v>0.74278502120804568</v>
      </c>
    </row>
    <row r="47" spans="2:25" ht="17.25" thickTop="1" thickBot="1" x14ac:dyDescent="0.3">
      <c r="B47" s="463"/>
      <c r="C47" s="350"/>
      <c r="D47" s="350"/>
      <c r="E47" s="350"/>
      <c r="F47" s="350"/>
      <c r="G47" s="350"/>
      <c r="H47" s="350"/>
      <c r="I47" s="458" t="s">
        <v>1844</v>
      </c>
      <c r="J47" s="350"/>
      <c r="K47" s="350"/>
      <c r="L47" s="350"/>
      <c r="M47" s="350"/>
      <c r="N47" s="847">
        <v>25</v>
      </c>
      <c r="O47" s="350"/>
      <c r="P47" s="465"/>
      <c r="Q47" s="350"/>
      <c r="S47" s="797" t="s">
        <v>33</v>
      </c>
      <c r="T47" s="798" t="s">
        <v>31</v>
      </c>
      <c r="V47" s="797" t="s">
        <v>32</v>
      </c>
      <c r="W47" s="803" t="s">
        <v>1872</v>
      </c>
      <c r="X47" s="803" t="s">
        <v>1873</v>
      </c>
      <c r="Y47" s="805" t="s">
        <v>1779</v>
      </c>
    </row>
    <row r="48" spans="2:25" ht="16.5" thickBot="1" x14ac:dyDescent="0.3">
      <c r="B48" s="463"/>
      <c r="C48" s="350"/>
      <c r="D48" s="350"/>
      <c r="E48" s="350"/>
      <c r="F48" s="350"/>
      <c r="G48" s="350"/>
      <c r="H48" s="350"/>
      <c r="I48" s="350"/>
      <c r="J48" s="350"/>
      <c r="K48" s="350"/>
      <c r="L48" s="350"/>
      <c r="M48" s="350"/>
      <c r="N48" s="458" t="s">
        <v>1844</v>
      </c>
      <c r="O48" s="458"/>
      <c r="P48" s="465"/>
      <c r="Q48" s="350"/>
      <c r="S48" s="1219">
        <f>H40</f>
        <v>22.475570032573291</v>
      </c>
      <c r="T48" s="1218">
        <f>D50</f>
        <v>23</v>
      </c>
      <c r="U48" s="795"/>
      <c r="V48" s="800">
        <f>SQRT(SUMSQ(S48)+SUMSQ(T48))</f>
        <v>32.158222094654214</v>
      </c>
      <c r="W48" s="801">
        <v>90</v>
      </c>
      <c r="X48" s="811">
        <f>ATAN(S48/T48)*180/PI()</f>
        <v>44.339287185224734</v>
      </c>
      <c r="Y48" s="812">
        <f>ATAN(T48/S48)*180/PI()</f>
        <v>45.660712814775266</v>
      </c>
    </row>
    <row r="49" spans="2:22" ht="14.25" thickTop="1" thickBot="1" x14ac:dyDescent="0.25">
      <c r="B49" s="463"/>
      <c r="C49" s="350"/>
      <c r="D49" s="464" t="s">
        <v>1832</v>
      </c>
      <c r="E49" s="350"/>
      <c r="F49" s="350"/>
      <c r="G49" s="350"/>
      <c r="H49" s="350"/>
      <c r="I49" s="350"/>
      <c r="J49" s="350"/>
      <c r="K49" s="464" t="s">
        <v>1802</v>
      </c>
      <c r="L49" s="350"/>
      <c r="M49" s="350"/>
      <c r="N49" s="350"/>
      <c r="O49" s="350"/>
      <c r="P49" s="465"/>
      <c r="Q49" s="350"/>
    </row>
    <row r="50" spans="2:22" ht="16.5" thickBot="1" x14ac:dyDescent="0.3">
      <c r="B50" s="463"/>
      <c r="C50" s="350"/>
      <c r="D50" s="477">
        <f>N47-C40/12</f>
        <v>23</v>
      </c>
      <c r="E50" s="350"/>
      <c r="F50" s="350"/>
      <c r="G50" s="464" t="s">
        <v>1832</v>
      </c>
      <c r="H50" s="350"/>
      <c r="I50" s="350"/>
      <c r="J50" s="350"/>
      <c r="K50" s="480">
        <f>U56*12</f>
        <v>11.726384364820847</v>
      </c>
      <c r="L50" s="350"/>
      <c r="M50" s="350"/>
      <c r="N50" s="350"/>
      <c r="O50" s="350"/>
      <c r="P50" s="465"/>
      <c r="Q50" s="350"/>
    </row>
    <row r="51" spans="2:22" ht="16.5" thickBot="1" x14ac:dyDescent="0.3">
      <c r="B51" s="463"/>
      <c r="C51" s="350"/>
      <c r="D51" s="470"/>
      <c r="E51" s="350"/>
      <c r="F51" s="350"/>
      <c r="G51" s="459">
        <f>V63</f>
        <v>33.196495710289391</v>
      </c>
      <c r="H51" s="350"/>
      <c r="I51" s="350"/>
      <c r="J51" s="350"/>
      <c r="K51" s="350"/>
      <c r="L51" s="350"/>
      <c r="M51" s="350"/>
      <c r="N51" s="350"/>
      <c r="O51" s="350"/>
      <c r="P51" s="465"/>
      <c r="Q51" s="350"/>
    </row>
    <row r="52" spans="2:22" ht="16.5" thickBot="1" x14ac:dyDescent="0.3">
      <c r="B52" s="463"/>
      <c r="C52" s="350"/>
      <c r="D52" s="458"/>
      <c r="E52" s="350"/>
      <c r="F52" s="350"/>
      <c r="G52" s="350"/>
      <c r="H52" s="350"/>
      <c r="I52" s="350"/>
      <c r="J52" s="350"/>
      <c r="K52" s="464" t="s">
        <v>1802</v>
      </c>
      <c r="L52" s="350"/>
      <c r="M52" s="350"/>
      <c r="N52" s="350"/>
      <c r="O52" s="350"/>
      <c r="P52" s="465"/>
      <c r="Q52" s="350"/>
    </row>
    <row r="53" spans="2:22" ht="16.5" thickBot="1" x14ac:dyDescent="0.3">
      <c r="B53" s="463"/>
      <c r="C53" s="350"/>
      <c r="D53" s="350"/>
      <c r="E53" s="350"/>
      <c r="F53" s="350"/>
      <c r="G53" s="350"/>
      <c r="H53" s="350"/>
      <c r="I53" s="350"/>
      <c r="J53" s="350"/>
      <c r="K53" s="480">
        <f>K50-U46*12</f>
        <v>2.8129641103242982</v>
      </c>
      <c r="L53" s="350"/>
      <c r="M53" s="350"/>
      <c r="N53" s="350"/>
      <c r="O53" s="350"/>
      <c r="P53" s="465"/>
      <c r="Q53" s="350"/>
    </row>
    <row r="54" spans="2:22" x14ac:dyDescent="0.2">
      <c r="B54" s="463"/>
      <c r="C54" s="350"/>
      <c r="D54" s="350"/>
      <c r="E54" s="350"/>
      <c r="F54" s="350"/>
      <c r="G54" s="350"/>
      <c r="H54" s="350"/>
      <c r="I54" s="350"/>
      <c r="J54" s="350"/>
      <c r="K54" s="350"/>
      <c r="L54" s="350"/>
      <c r="M54" s="350"/>
      <c r="N54" s="350"/>
      <c r="O54" s="350"/>
      <c r="P54" s="465"/>
      <c r="Q54" s="350"/>
    </row>
    <row r="55" spans="2:22" x14ac:dyDescent="0.2">
      <c r="B55" s="463"/>
      <c r="C55" s="350"/>
      <c r="D55" s="350"/>
      <c r="E55" s="350"/>
      <c r="F55" s="350"/>
      <c r="G55" s="350"/>
      <c r="H55" s="350"/>
      <c r="I55" s="350"/>
      <c r="J55" s="350"/>
      <c r="K55" s="350"/>
      <c r="L55" s="350"/>
      <c r="M55" s="350"/>
      <c r="N55" s="350"/>
      <c r="O55" s="350"/>
      <c r="P55" s="465"/>
      <c r="Q55" s="350"/>
      <c r="T55" s="473" t="s">
        <v>1852</v>
      </c>
      <c r="U55" s="15">
        <f>M59</f>
        <v>12</v>
      </c>
    </row>
    <row r="56" spans="2:22" x14ac:dyDescent="0.2">
      <c r="B56" s="463"/>
      <c r="C56" s="350"/>
      <c r="D56" s="350"/>
      <c r="E56" s="350"/>
      <c r="F56" s="350"/>
      <c r="G56" s="350"/>
      <c r="H56" s="350"/>
      <c r="I56" s="350"/>
      <c r="J56" s="350"/>
      <c r="K56" s="350"/>
      <c r="L56" s="350"/>
      <c r="M56" s="350"/>
      <c r="N56" s="350"/>
      <c r="O56" s="350"/>
      <c r="P56" s="465"/>
      <c r="Q56" s="350"/>
      <c r="T56" s="473" t="s">
        <v>1853</v>
      </c>
      <c r="U56" s="471">
        <f>(U41/U40)*M59/12</f>
        <v>0.9771986970684039</v>
      </c>
    </row>
    <row r="57" spans="2:22" x14ac:dyDescent="0.2">
      <c r="B57" s="463"/>
      <c r="C57" s="350"/>
      <c r="D57" s="350"/>
      <c r="E57" s="350"/>
      <c r="F57" s="350"/>
      <c r="G57" s="350"/>
      <c r="H57" s="350"/>
      <c r="I57" s="350"/>
      <c r="J57" s="350"/>
      <c r="K57" s="350"/>
      <c r="L57" s="350"/>
      <c r="M57" s="350"/>
      <c r="N57" s="350"/>
      <c r="O57" s="350"/>
      <c r="P57" s="465"/>
      <c r="Q57" s="350"/>
      <c r="T57" s="473"/>
    </row>
    <row r="58" spans="2:22" ht="13.5" thickBot="1" x14ac:dyDescent="0.25">
      <c r="B58" s="463"/>
      <c r="C58" s="350"/>
      <c r="D58" s="350"/>
      <c r="E58" s="350"/>
      <c r="F58" s="350"/>
      <c r="G58" s="350"/>
      <c r="H58" s="350"/>
      <c r="I58" s="350"/>
      <c r="J58" s="350"/>
      <c r="K58" s="350"/>
      <c r="L58" s="350"/>
      <c r="M58" s="464" t="s">
        <v>1802</v>
      </c>
      <c r="N58" s="350"/>
      <c r="O58" s="350"/>
      <c r="P58" s="465"/>
      <c r="Q58" s="350"/>
      <c r="T58" s="473"/>
      <c r="U58">
        <f>H34-(C44/12+K53/12)</f>
        <v>23.96114007498938</v>
      </c>
      <c r="V58">
        <f>U58*U58</f>
        <v>574.13623369326206</v>
      </c>
    </row>
    <row r="59" spans="2:22" ht="16.5" thickBot="1" x14ac:dyDescent="0.3">
      <c r="B59" s="463"/>
      <c r="C59" s="350"/>
      <c r="D59" s="350"/>
      <c r="E59" s="350"/>
      <c r="F59" s="350"/>
      <c r="G59" s="350"/>
      <c r="H59" s="350"/>
      <c r="I59" s="350"/>
      <c r="J59" s="350"/>
      <c r="K59" s="350"/>
      <c r="L59" s="350"/>
      <c r="M59" s="846">
        <v>12</v>
      </c>
      <c r="N59" s="350"/>
      <c r="O59" s="350"/>
      <c r="P59" s="465"/>
      <c r="Q59" s="350"/>
      <c r="U59" s="15">
        <f>N47-C40/12</f>
        <v>23</v>
      </c>
      <c r="V59" s="15">
        <f>U59*U59</f>
        <v>529</v>
      </c>
    </row>
    <row r="60" spans="2:22" ht="15.75" x14ac:dyDescent="0.25">
      <c r="B60" s="463"/>
      <c r="C60" s="350"/>
      <c r="D60" s="350"/>
      <c r="E60" s="350"/>
      <c r="F60" s="350"/>
      <c r="G60" s="350"/>
      <c r="H60" s="350"/>
      <c r="I60" s="350"/>
      <c r="J60" s="350"/>
      <c r="K60" s="350"/>
      <c r="L60" s="350"/>
      <c r="M60" s="458" t="s">
        <v>1844</v>
      </c>
      <c r="N60" s="350"/>
      <c r="O60" s="350"/>
      <c r="P60" s="465"/>
      <c r="Q60" s="350"/>
      <c r="V60" s="471">
        <f>SUM(V58:V59)</f>
        <v>1103.1362336932621</v>
      </c>
    </row>
    <row r="61" spans="2:22" x14ac:dyDescent="0.2">
      <c r="B61" s="463"/>
      <c r="C61" s="350"/>
      <c r="D61" s="350"/>
      <c r="E61" s="350"/>
      <c r="F61" s="350"/>
      <c r="G61" s="350"/>
      <c r="H61" s="350"/>
      <c r="I61" s="350"/>
      <c r="J61" s="350"/>
      <c r="K61" s="350"/>
      <c r="L61" s="350"/>
      <c r="M61" s="464"/>
      <c r="N61" s="350"/>
      <c r="O61" s="350"/>
      <c r="P61" s="465"/>
      <c r="Q61" s="350"/>
      <c r="U61" s="15">
        <f>I46/12</f>
        <v>1.0625</v>
      </c>
      <c r="V61" s="15">
        <f>U61*U61</f>
        <v>1.12890625</v>
      </c>
    </row>
    <row r="62" spans="2:22" ht="13.5" thickBot="1" x14ac:dyDescent="0.25">
      <c r="B62" s="466"/>
      <c r="C62" s="467"/>
      <c r="D62" s="467"/>
      <c r="E62" s="467"/>
      <c r="F62" s="467"/>
      <c r="G62" s="467"/>
      <c r="H62" s="467"/>
      <c r="I62" s="467"/>
      <c r="J62" s="467"/>
      <c r="K62" s="467"/>
      <c r="L62" s="467"/>
      <c r="M62" s="476"/>
      <c r="N62" s="467"/>
      <c r="O62" s="467"/>
      <c r="P62" s="468"/>
      <c r="Q62" s="350"/>
      <c r="V62" s="457">
        <f>V60-V61</f>
        <v>1102.0073274432621</v>
      </c>
    </row>
    <row r="63" spans="2:22" x14ac:dyDescent="0.2">
      <c r="B63" s="460"/>
      <c r="C63" s="461"/>
      <c r="D63" s="461"/>
      <c r="E63" s="461"/>
      <c r="F63" s="461"/>
      <c r="G63" s="461"/>
      <c r="H63" s="461"/>
      <c r="I63" s="461"/>
      <c r="J63" s="461"/>
      <c r="K63" s="461"/>
      <c r="L63" s="461"/>
      <c r="M63" s="461"/>
      <c r="N63" s="461"/>
      <c r="O63" s="461"/>
      <c r="P63" s="462"/>
      <c r="Q63" s="350"/>
      <c r="V63">
        <f>SQRT(V62)</f>
        <v>33.196495710289391</v>
      </c>
    </row>
    <row r="64" spans="2:22" ht="20.25" x14ac:dyDescent="0.3">
      <c r="B64" s="463"/>
      <c r="C64" s="350"/>
      <c r="D64" s="479" t="s">
        <v>1856</v>
      </c>
      <c r="E64" s="350"/>
      <c r="F64" s="350"/>
      <c r="G64" s="350"/>
      <c r="H64" s="350"/>
      <c r="I64" s="350"/>
      <c r="J64" s="350"/>
      <c r="K64" s="350"/>
      <c r="L64" s="350"/>
      <c r="M64" s="350"/>
      <c r="N64" s="350"/>
      <c r="O64" s="350"/>
      <c r="P64" s="465"/>
      <c r="Q64" s="350"/>
    </row>
    <row r="65" spans="2:25" ht="13.5" thickBot="1" x14ac:dyDescent="0.25">
      <c r="B65" s="463"/>
      <c r="C65" s="350"/>
      <c r="D65" s="475"/>
      <c r="E65" s="350"/>
      <c r="F65" s="350"/>
      <c r="G65" s="350"/>
      <c r="H65" s="464" t="s">
        <v>1832</v>
      </c>
      <c r="I65" s="350"/>
      <c r="J65" s="350"/>
      <c r="K65" s="350"/>
      <c r="L65" s="350"/>
      <c r="M65" s="350"/>
      <c r="N65" s="413"/>
      <c r="O65" s="301"/>
      <c r="P65" s="465"/>
      <c r="Q65" s="350"/>
    </row>
    <row r="66" spans="2:25" ht="16.5" thickBot="1" x14ac:dyDescent="0.3">
      <c r="B66" s="463"/>
      <c r="C66" s="350"/>
      <c r="D66" s="464" t="s">
        <v>1802</v>
      </c>
      <c r="E66" s="350"/>
      <c r="F66" s="350"/>
      <c r="G66" s="350"/>
      <c r="H66" s="847">
        <v>6</v>
      </c>
      <c r="I66" s="350"/>
      <c r="J66" s="350"/>
      <c r="K66" s="350"/>
      <c r="L66" s="350"/>
      <c r="M66" s="350"/>
      <c r="N66" s="487"/>
      <c r="O66" s="488"/>
      <c r="P66" s="465"/>
      <c r="Q66" s="350"/>
      <c r="T66" s="472">
        <f>H66*H66</f>
        <v>36</v>
      </c>
      <c r="U66" s="471">
        <f>(C72-D67)/12</f>
        <v>1.25</v>
      </c>
    </row>
    <row r="67" spans="2:25" ht="16.5" thickBot="1" x14ac:dyDescent="0.3">
      <c r="B67" s="463"/>
      <c r="C67" s="350"/>
      <c r="D67" s="846">
        <v>10</v>
      </c>
      <c r="E67" s="350"/>
      <c r="F67" s="350"/>
      <c r="G67" s="350"/>
      <c r="H67" s="458" t="s">
        <v>1844</v>
      </c>
      <c r="I67" s="350"/>
      <c r="J67" s="350"/>
      <c r="K67" s="350"/>
      <c r="L67" s="350"/>
      <c r="M67" s="350"/>
      <c r="N67" s="350"/>
      <c r="O67" s="350"/>
      <c r="P67" s="465"/>
      <c r="Q67" s="350"/>
      <c r="S67" s="472">
        <f>N79-D67/12+M91/12</f>
        <v>24.166666666666668</v>
      </c>
      <c r="T67" s="472">
        <f>S67*S67</f>
        <v>584.02777777777783</v>
      </c>
    </row>
    <row r="68" spans="2:25" ht="16.5" thickBot="1" x14ac:dyDescent="0.3">
      <c r="B68" s="463"/>
      <c r="C68" s="350"/>
      <c r="D68" s="458" t="s">
        <v>1844</v>
      </c>
      <c r="E68" s="350"/>
      <c r="F68" s="350"/>
      <c r="G68" s="350"/>
      <c r="H68" s="469"/>
      <c r="I68" s="350"/>
      <c r="J68" s="350"/>
      <c r="K68" s="350"/>
      <c r="L68" s="350"/>
      <c r="M68" s="350"/>
      <c r="N68" s="482" t="s">
        <v>1855</v>
      </c>
      <c r="O68" s="483"/>
      <c r="P68" s="465"/>
      <c r="Q68" s="350"/>
      <c r="T68" s="457">
        <f>SUM(T66:T67)</f>
        <v>620.02777777777783</v>
      </c>
    </row>
    <row r="69" spans="2:25" ht="17.25" thickTop="1" thickBot="1" x14ac:dyDescent="0.3">
      <c r="B69" s="463"/>
      <c r="C69" s="350"/>
      <c r="D69" s="350"/>
      <c r="E69" s="350"/>
      <c r="F69" s="350"/>
      <c r="G69" s="464" t="s">
        <v>1802</v>
      </c>
      <c r="H69" s="458"/>
      <c r="I69" s="350"/>
      <c r="J69" s="350"/>
      <c r="K69" s="350"/>
      <c r="L69" s="350"/>
      <c r="M69" s="350"/>
      <c r="N69" s="212" t="s">
        <v>1832</v>
      </c>
      <c r="O69" s="484" t="s">
        <v>1837</v>
      </c>
      <c r="P69" s="465"/>
      <c r="Q69" s="350"/>
      <c r="S69" s="797" t="s">
        <v>33</v>
      </c>
      <c r="T69" s="798" t="s">
        <v>31</v>
      </c>
      <c r="V69" s="797" t="s">
        <v>32</v>
      </c>
      <c r="W69" s="803" t="s">
        <v>1872</v>
      </c>
      <c r="X69" s="803" t="s">
        <v>1873</v>
      </c>
      <c r="Y69" s="805" t="s">
        <v>1779</v>
      </c>
    </row>
    <row r="70" spans="2:25" ht="16.5" thickBot="1" x14ac:dyDescent="0.3">
      <c r="B70" s="463"/>
      <c r="C70" s="350"/>
      <c r="D70" s="350"/>
      <c r="E70" s="350"/>
      <c r="F70" s="350"/>
      <c r="G70" s="477">
        <f>U77*12</f>
        <v>3.7241379310344831</v>
      </c>
      <c r="H70" s="350"/>
      <c r="I70" s="350"/>
      <c r="J70" s="350"/>
      <c r="K70" s="350"/>
      <c r="L70" s="350"/>
      <c r="M70" s="350"/>
      <c r="N70" s="485">
        <f>G83</f>
        <v>24.025180161800755</v>
      </c>
      <c r="O70" s="486">
        <f>N70/3.2808399</f>
        <v>7.3228749021860997</v>
      </c>
      <c r="P70" s="465"/>
      <c r="Q70" s="350"/>
      <c r="R70" s="457"/>
      <c r="S70" s="1219">
        <f>D82</f>
        <v>22.916666666666668</v>
      </c>
      <c r="T70" s="1218">
        <f>H72</f>
        <v>5.6896551724137927</v>
      </c>
      <c r="U70" s="795"/>
      <c r="V70" s="800">
        <f>SQRT(SUMSQ(S70)+SUMSQ(T70))</f>
        <v>23.612407481916922</v>
      </c>
      <c r="W70" s="801">
        <v>90</v>
      </c>
      <c r="X70" s="811">
        <f>ATAN(S70/T70)*180/PI()</f>
        <v>76.05676907944634</v>
      </c>
      <c r="Y70" s="812">
        <f>ATAN(T70/S70)*180/PI()</f>
        <v>13.943230920553665</v>
      </c>
    </row>
    <row r="71" spans="2:25" ht="13.5" thickBot="1" x14ac:dyDescent="0.25">
      <c r="B71" s="463"/>
      <c r="C71" s="464" t="s">
        <v>1802</v>
      </c>
      <c r="D71" s="350"/>
      <c r="E71" s="350"/>
      <c r="F71" s="350"/>
      <c r="G71" s="350"/>
      <c r="H71" s="464" t="s">
        <v>1832</v>
      </c>
      <c r="I71" s="350"/>
      <c r="J71" s="350"/>
      <c r="K71" s="350"/>
      <c r="L71" s="350"/>
      <c r="M71" s="350"/>
      <c r="N71" s="350"/>
      <c r="O71" s="350"/>
      <c r="P71" s="465"/>
      <c r="Q71" s="350"/>
      <c r="T71" s="473"/>
      <c r="U71" s="15"/>
      <c r="V71" s="472"/>
    </row>
    <row r="72" spans="2:25" ht="16.5" thickBot="1" x14ac:dyDescent="0.3">
      <c r="B72" s="463"/>
      <c r="C72" s="846">
        <v>25</v>
      </c>
      <c r="D72" s="350"/>
      <c r="E72" s="350"/>
      <c r="F72" s="350"/>
      <c r="G72" s="350"/>
      <c r="H72" s="477">
        <f>H66-G70/12</f>
        <v>5.6896551724137927</v>
      </c>
      <c r="I72" s="350"/>
      <c r="J72" s="350"/>
      <c r="K72" s="350"/>
      <c r="L72" s="350"/>
      <c r="M72" s="350"/>
      <c r="N72" s="350"/>
      <c r="O72" s="350"/>
      <c r="P72" s="465"/>
      <c r="Q72" s="350"/>
      <c r="T72" s="473" t="s">
        <v>1846</v>
      </c>
      <c r="U72" s="457">
        <f>N79-D67/12</f>
        <v>24.166666666666668</v>
      </c>
      <c r="V72">
        <f>U72*U72</f>
        <v>584.02777777777783</v>
      </c>
    </row>
    <row r="73" spans="2:25" ht="15.75" x14ac:dyDescent="0.25">
      <c r="B73" s="463"/>
      <c r="C73" s="458" t="s">
        <v>1844</v>
      </c>
      <c r="D73" s="350"/>
      <c r="E73" s="350"/>
      <c r="F73" s="350"/>
      <c r="G73" s="350"/>
      <c r="H73" s="350"/>
      <c r="I73" s="464"/>
      <c r="J73" s="350"/>
      <c r="K73" s="350"/>
      <c r="L73" s="350"/>
      <c r="M73" s="350"/>
      <c r="N73" s="350"/>
      <c r="O73" s="350"/>
      <c r="P73" s="465"/>
      <c r="Q73" s="350"/>
      <c r="S73" s="457"/>
      <c r="T73" s="473" t="s">
        <v>1847</v>
      </c>
      <c r="U73" s="457">
        <f>H66</f>
        <v>6</v>
      </c>
      <c r="V73">
        <f>U73*U73</f>
        <v>36</v>
      </c>
    </row>
    <row r="74" spans="2:25" ht="13.5" thickBot="1" x14ac:dyDescent="0.25">
      <c r="B74" s="463"/>
      <c r="C74" s="350"/>
      <c r="D74" s="350"/>
      <c r="E74" s="350"/>
      <c r="F74" s="350"/>
      <c r="G74" s="350"/>
      <c r="H74" s="350"/>
      <c r="I74" s="350"/>
      <c r="J74" s="350"/>
      <c r="K74" s="350"/>
      <c r="L74" s="464"/>
      <c r="M74" s="350"/>
      <c r="N74" s="350"/>
      <c r="O74" s="350"/>
      <c r="P74" s="465"/>
      <c r="Q74" s="350"/>
      <c r="T74" s="473" t="s">
        <v>1858</v>
      </c>
      <c r="U74" s="457">
        <f>SQRT(V74)</f>
        <v>24.900356980930571</v>
      </c>
      <c r="V74">
        <f>SUM(V72:V73)</f>
        <v>620.02777777777783</v>
      </c>
    </row>
    <row r="75" spans="2:25" ht="16.5" thickBot="1" x14ac:dyDescent="0.3">
      <c r="B75" s="463"/>
      <c r="C75" s="464" t="s">
        <v>1802</v>
      </c>
      <c r="D75" s="350"/>
      <c r="E75" s="350"/>
      <c r="F75" s="350"/>
      <c r="G75" s="350"/>
      <c r="H75" s="1223">
        <f>X70</f>
        <v>76.05676907944634</v>
      </c>
      <c r="I75" s="458"/>
      <c r="J75" s="350"/>
      <c r="K75" s="350"/>
      <c r="L75" s="470"/>
      <c r="M75" s="350"/>
      <c r="N75" s="350"/>
      <c r="O75" s="350"/>
      <c r="P75" s="465"/>
      <c r="Q75" s="350"/>
    </row>
    <row r="76" spans="2:25" ht="16.5" thickBot="1" x14ac:dyDescent="0.3">
      <c r="B76" s="463"/>
      <c r="C76" s="481">
        <f>G70-(U82*12)</f>
        <v>-2.8444045139351326</v>
      </c>
      <c r="D76" s="350"/>
      <c r="E76" s="350"/>
      <c r="F76" s="350"/>
      <c r="G76" s="350"/>
      <c r="H76" s="350"/>
      <c r="I76" s="350"/>
      <c r="J76" s="350"/>
      <c r="K76" s="350"/>
      <c r="L76" s="458"/>
      <c r="M76" s="350"/>
      <c r="N76" s="350"/>
      <c r="O76" s="350"/>
      <c r="P76" s="465"/>
      <c r="Q76" s="350"/>
      <c r="S76" s="457"/>
      <c r="T76" s="473" t="s">
        <v>1849</v>
      </c>
      <c r="U76" s="457">
        <f>(C72-D67)/12</f>
        <v>1.25</v>
      </c>
      <c r="V76" s="457">
        <f>U76*U76</f>
        <v>1.5625</v>
      </c>
    </row>
    <row r="77" spans="2:25" ht="13.5" thickBot="1" x14ac:dyDescent="0.25">
      <c r="B77" s="463"/>
      <c r="C77" s="350"/>
      <c r="D77" s="350"/>
      <c r="E77" s="350"/>
      <c r="F77" s="350"/>
      <c r="G77" s="350"/>
      <c r="H77" s="350"/>
      <c r="I77" s="464" t="s">
        <v>1802</v>
      </c>
      <c r="J77" s="350"/>
      <c r="K77" s="350"/>
      <c r="L77" s="350"/>
      <c r="M77" s="350"/>
      <c r="N77" s="350"/>
      <c r="O77" s="350"/>
      <c r="P77" s="465"/>
      <c r="Q77" s="350"/>
      <c r="T77" s="473" t="s">
        <v>1850</v>
      </c>
      <c r="U77" s="457">
        <f>U76*(U73/U72)</f>
        <v>0.31034482758620691</v>
      </c>
      <c r="V77" s="457">
        <f>U77*U77</f>
        <v>9.631391200951249E-2</v>
      </c>
    </row>
    <row r="78" spans="2:25" ht="15.75" thickBot="1" x14ac:dyDescent="0.3">
      <c r="B78" s="463"/>
      <c r="C78" s="350"/>
      <c r="D78" s="350"/>
      <c r="E78" s="350"/>
      <c r="F78" s="350"/>
      <c r="G78" s="350"/>
      <c r="H78" s="350"/>
      <c r="I78" s="848">
        <v>12.75</v>
      </c>
      <c r="J78" s="350"/>
      <c r="K78" s="350"/>
      <c r="L78" s="350"/>
      <c r="M78" s="350"/>
      <c r="N78" s="464" t="s">
        <v>1832</v>
      </c>
      <c r="O78" s="350"/>
      <c r="P78" s="465"/>
      <c r="Q78" s="350"/>
      <c r="T78" s="473" t="s">
        <v>1851</v>
      </c>
      <c r="U78" s="457">
        <f>SQRT(V78)</f>
        <v>1.2879494990136502</v>
      </c>
      <c r="V78" s="457">
        <f>SUM(V76:V77)</f>
        <v>1.6588139120095124</v>
      </c>
    </row>
    <row r="79" spans="2:25" ht="16.5" thickBot="1" x14ac:dyDescent="0.3">
      <c r="B79" s="463"/>
      <c r="C79" s="350"/>
      <c r="D79" s="350"/>
      <c r="E79" s="350"/>
      <c r="F79" s="350"/>
      <c r="G79" s="350"/>
      <c r="H79" s="350"/>
      <c r="I79" s="458" t="s">
        <v>1844</v>
      </c>
      <c r="J79" s="350"/>
      <c r="K79" s="350"/>
      <c r="L79" s="350"/>
      <c r="M79" s="350"/>
      <c r="N79" s="847">
        <v>25</v>
      </c>
      <c r="O79" s="350"/>
      <c r="P79" s="465"/>
      <c r="Q79" s="350"/>
      <c r="U79" s="457"/>
      <c r="V79" s="457"/>
    </row>
    <row r="80" spans="2:25" ht="15.75" x14ac:dyDescent="0.25">
      <c r="B80" s="463"/>
      <c r="C80" s="350"/>
      <c r="D80" s="350"/>
      <c r="E80" s="350"/>
      <c r="F80" s="350"/>
      <c r="G80" s="350"/>
      <c r="H80" s="350"/>
      <c r="I80" s="350"/>
      <c r="J80" s="350"/>
      <c r="K80" s="492"/>
      <c r="L80" s="464" t="s">
        <v>1857</v>
      </c>
      <c r="M80" s="350"/>
      <c r="N80" s="458" t="s">
        <v>1844</v>
      </c>
      <c r="O80" s="458"/>
      <c r="P80" s="465"/>
      <c r="Q80" s="350"/>
      <c r="T80" s="473" t="s">
        <v>1852</v>
      </c>
      <c r="U80" s="457">
        <f>(I78/2)/12</f>
        <v>0.53125</v>
      </c>
      <c r="V80" s="457">
        <f>U80*U80</f>
        <v>0.2822265625</v>
      </c>
    </row>
    <row r="81" spans="2:22" ht="13.5" thickBot="1" x14ac:dyDescent="0.25">
      <c r="B81" s="463"/>
      <c r="C81" s="350"/>
      <c r="D81" s="464" t="s">
        <v>1832</v>
      </c>
      <c r="E81" s="350"/>
      <c r="F81" s="350"/>
      <c r="G81" s="350"/>
      <c r="H81" s="350"/>
      <c r="I81" s="350"/>
      <c r="J81" s="350"/>
      <c r="K81" s="464"/>
      <c r="L81" s="464" t="s">
        <v>1802</v>
      </c>
      <c r="M81" s="350"/>
      <c r="N81" s="350"/>
      <c r="O81" s="350"/>
      <c r="P81" s="465"/>
      <c r="Q81" s="350"/>
      <c r="T81" s="473" t="s">
        <v>1853</v>
      </c>
      <c r="U81" s="457">
        <f>U80*(U73/U72)</f>
        <v>0.13189655172413792</v>
      </c>
      <c r="V81" s="457">
        <f>U81*U81</f>
        <v>1.7396700356718187E-2</v>
      </c>
    </row>
    <row r="82" spans="2:22" ht="16.5" thickBot="1" x14ac:dyDescent="0.3">
      <c r="B82" s="463"/>
      <c r="C82" s="350"/>
      <c r="D82" s="477">
        <f>N79-C72/12</f>
        <v>22.916666666666668</v>
      </c>
      <c r="E82" s="350"/>
      <c r="F82" s="350"/>
      <c r="G82" s="464" t="s">
        <v>1832</v>
      </c>
      <c r="H82" s="350"/>
      <c r="I82" s="350"/>
      <c r="J82" s="350"/>
      <c r="K82" s="493"/>
      <c r="L82" s="846">
        <v>10.75</v>
      </c>
      <c r="M82" s="350"/>
      <c r="N82" s="350"/>
      <c r="O82" s="350"/>
      <c r="P82" s="465"/>
      <c r="Q82" s="350"/>
      <c r="T82" s="473" t="s">
        <v>1859</v>
      </c>
      <c r="U82" s="457">
        <f>SQRT(V82)</f>
        <v>0.54737853708080131</v>
      </c>
      <c r="V82" s="457">
        <f>SUM(V80:V81)</f>
        <v>0.2996232628567182</v>
      </c>
    </row>
    <row r="83" spans="2:22" ht="16.5" thickBot="1" x14ac:dyDescent="0.3">
      <c r="B83" s="463"/>
      <c r="C83" s="350"/>
      <c r="D83" s="470"/>
      <c r="E83" s="350"/>
      <c r="F83" s="350"/>
      <c r="G83" s="459">
        <f>U74-U78+U81-U85+U86</f>
        <v>24.025180161800755</v>
      </c>
      <c r="H83" s="350"/>
      <c r="I83" s="350"/>
      <c r="J83" s="350"/>
      <c r="K83" s="458"/>
      <c r="L83" s="458" t="s">
        <v>1844</v>
      </c>
      <c r="M83" s="350"/>
      <c r="N83" s="350"/>
      <c r="O83" s="350"/>
      <c r="P83" s="465"/>
      <c r="Q83" s="350"/>
      <c r="T83" s="473" t="s">
        <v>1860</v>
      </c>
      <c r="U83" s="457">
        <f>U84*(U72/U73)</f>
        <v>1.8041087962962963</v>
      </c>
      <c r="V83" s="457">
        <f>U83*U83</f>
        <v>3.2548085488736711</v>
      </c>
    </row>
    <row r="84" spans="2:22" ht="15.75" x14ac:dyDescent="0.25">
      <c r="B84" s="463"/>
      <c r="C84" s="350"/>
      <c r="D84" s="458"/>
      <c r="E84" s="350"/>
      <c r="F84" s="350"/>
      <c r="G84" s="350"/>
      <c r="H84" s="350"/>
      <c r="I84" s="350"/>
      <c r="J84" s="350"/>
      <c r="K84" s="464"/>
      <c r="L84" s="350"/>
      <c r="M84" s="350"/>
      <c r="N84" s="350"/>
      <c r="O84" s="350"/>
      <c r="P84" s="465"/>
      <c r="Q84" s="350"/>
      <c r="T84" s="473" t="s">
        <v>1861</v>
      </c>
      <c r="U84" s="457">
        <f>(L82/2)/12</f>
        <v>0.44791666666666669</v>
      </c>
      <c r="V84" s="457">
        <f>U84*U84</f>
        <v>0.20062934027777779</v>
      </c>
    </row>
    <row r="85" spans="2:22" ht="15.75" x14ac:dyDescent="0.25">
      <c r="B85" s="463"/>
      <c r="C85" s="350"/>
      <c r="D85" s="350"/>
      <c r="E85" s="350"/>
      <c r="F85" s="350"/>
      <c r="G85" s="350"/>
      <c r="H85" s="350"/>
      <c r="I85" s="350"/>
      <c r="J85" s="350"/>
      <c r="K85" s="491"/>
      <c r="L85" s="350"/>
      <c r="M85" s="350"/>
      <c r="N85" s="350"/>
      <c r="O85" s="350"/>
      <c r="P85" s="465"/>
      <c r="Q85" s="350"/>
      <c r="T85" s="473" t="s">
        <v>1862</v>
      </c>
      <c r="U85" s="457">
        <f>SQRT(V85)</f>
        <v>1.8588808162847474</v>
      </c>
      <c r="V85" s="457">
        <f>SUM(V83:V84)</f>
        <v>3.4554378891514488</v>
      </c>
    </row>
    <row r="86" spans="2:22" x14ac:dyDescent="0.2">
      <c r="B86" s="463"/>
      <c r="C86" s="350"/>
      <c r="D86" s="350"/>
      <c r="E86" s="350"/>
      <c r="F86" s="350"/>
      <c r="G86" s="350"/>
      <c r="H86" s="350"/>
      <c r="I86" s="350"/>
      <c r="J86" s="350"/>
      <c r="K86" s="350"/>
      <c r="L86" s="350"/>
      <c r="M86" s="350"/>
      <c r="N86" s="350"/>
      <c r="O86" s="350"/>
      <c r="P86" s="465"/>
      <c r="Q86" s="350"/>
      <c r="T86" s="473" t="s">
        <v>1863</v>
      </c>
      <c r="U86" s="457">
        <f>U87*(U72/U73)</f>
        <v>2.1397569444444442</v>
      </c>
      <c r="V86" s="457">
        <f>U86*U86</f>
        <v>4.5785597812982246</v>
      </c>
    </row>
    <row r="87" spans="2:22" x14ac:dyDescent="0.2">
      <c r="B87" s="463"/>
      <c r="C87" s="350"/>
      <c r="D87" s="350"/>
      <c r="E87" s="350"/>
      <c r="F87" s="350"/>
      <c r="G87" s="350"/>
      <c r="H87" s="350"/>
      <c r="I87" s="350"/>
      <c r="J87" s="350"/>
      <c r="K87" s="350"/>
      <c r="L87" s="350"/>
      <c r="M87" s="350"/>
      <c r="N87" s="350"/>
      <c r="O87" s="350"/>
      <c r="P87" s="465"/>
      <c r="Q87" s="350"/>
      <c r="T87" s="473" t="s">
        <v>1864</v>
      </c>
      <c r="U87" s="457">
        <f>(I78/2)/12</f>
        <v>0.53125</v>
      </c>
      <c r="V87" s="457">
        <f>U87*U87</f>
        <v>0.2822265625</v>
      </c>
    </row>
    <row r="88" spans="2:22" x14ac:dyDescent="0.2">
      <c r="B88" s="463"/>
      <c r="C88" s="350"/>
      <c r="D88" s="350"/>
      <c r="E88" s="350"/>
      <c r="F88" s="350"/>
      <c r="G88" s="350"/>
      <c r="H88" s="350"/>
      <c r="I88" s="350"/>
      <c r="J88" s="350"/>
      <c r="K88" s="350"/>
      <c r="L88" s="350"/>
      <c r="M88" s="350"/>
      <c r="N88" s="350"/>
      <c r="O88" s="350"/>
      <c r="P88" s="465"/>
      <c r="Q88" s="350"/>
      <c r="T88" s="473" t="s">
        <v>1865</v>
      </c>
      <c r="U88" s="457">
        <f>SQRT(V88)</f>
        <v>2.2047191076865609</v>
      </c>
      <c r="V88" s="457">
        <f>SUM(V86:V87)</f>
        <v>4.8607863437982246</v>
      </c>
    </row>
    <row r="89" spans="2:22" x14ac:dyDescent="0.2">
      <c r="B89" s="463"/>
      <c r="C89" s="350"/>
      <c r="D89" s="350"/>
      <c r="E89" s="350"/>
      <c r="F89" s="350"/>
      <c r="G89" s="350"/>
      <c r="H89" s="350"/>
      <c r="I89" s="350"/>
      <c r="J89" s="350"/>
      <c r="K89" s="350"/>
      <c r="L89" s="350"/>
      <c r="M89" s="350"/>
      <c r="N89" s="350"/>
      <c r="O89" s="350"/>
      <c r="P89" s="465"/>
      <c r="Q89" s="350"/>
      <c r="T89" s="473"/>
      <c r="U89" s="457"/>
      <c r="V89" s="457"/>
    </row>
    <row r="90" spans="2:22" x14ac:dyDescent="0.2">
      <c r="B90" s="463"/>
      <c r="C90" s="350"/>
      <c r="D90" s="350"/>
      <c r="E90" s="350"/>
      <c r="F90" s="350"/>
      <c r="G90" s="350"/>
      <c r="H90" s="350"/>
      <c r="I90" s="350"/>
      <c r="J90" s="350"/>
      <c r="K90" s="350"/>
      <c r="L90" s="350"/>
      <c r="M90" s="464"/>
      <c r="N90" s="350"/>
      <c r="O90" s="350"/>
      <c r="P90" s="465"/>
      <c r="Q90" s="350"/>
      <c r="T90" s="473"/>
      <c r="U90" s="457"/>
      <c r="V90" s="457"/>
    </row>
    <row r="91" spans="2:22" ht="16.5" thickBot="1" x14ac:dyDescent="0.3">
      <c r="B91" s="463"/>
      <c r="C91" s="350"/>
      <c r="D91" s="350"/>
      <c r="E91" s="350"/>
      <c r="F91" s="464" t="s">
        <v>1802</v>
      </c>
      <c r="G91" s="350"/>
      <c r="H91" s="350"/>
      <c r="I91" s="350"/>
      <c r="J91" s="350"/>
      <c r="K91" s="350"/>
      <c r="L91" s="350"/>
      <c r="M91" s="490"/>
      <c r="N91" s="350"/>
      <c r="O91" s="350"/>
      <c r="P91" s="465"/>
      <c r="Q91" s="350"/>
      <c r="T91" s="457">
        <f>H66-(C76/12)-(L82/2)/12</f>
        <v>5.7891170428279271</v>
      </c>
      <c r="U91" s="457">
        <f>T91*T91</f>
        <v>33.513876135560764</v>
      </c>
      <c r="V91" s="457"/>
    </row>
    <row r="92" spans="2:22" ht="16.5" thickBot="1" x14ac:dyDescent="0.3">
      <c r="B92" s="463"/>
      <c r="C92" s="350"/>
      <c r="D92" s="350"/>
      <c r="E92" s="350"/>
      <c r="F92" s="481">
        <f>(D82-T93)*12</f>
        <v>-4.8073237366831592</v>
      </c>
      <c r="G92" s="350"/>
      <c r="H92" s="350"/>
      <c r="I92" s="350"/>
      <c r="J92" s="350"/>
      <c r="K92" s="350"/>
      <c r="L92" s="350"/>
      <c r="M92" s="458"/>
      <c r="N92" s="350"/>
      <c r="O92" s="350"/>
      <c r="P92" s="465"/>
      <c r="Q92" s="350"/>
      <c r="T92" s="494">
        <f>G83</f>
        <v>24.025180161800755</v>
      </c>
      <c r="U92">
        <f>T92*T92</f>
        <v>577.20928180698456</v>
      </c>
      <c r="V92" s="471"/>
    </row>
    <row r="93" spans="2:22" x14ac:dyDescent="0.2">
      <c r="B93" s="463"/>
      <c r="C93" s="350"/>
      <c r="D93" s="350"/>
      <c r="E93" s="350"/>
      <c r="F93" s="350"/>
      <c r="G93" s="350"/>
      <c r="H93" s="350"/>
      <c r="I93" s="350"/>
      <c r="J93" s="350"/>
      <c r="K93" s="350"/>
      <c r="L93" s="350"/>
      <c r="M93" s="464"/>
      <c r="N93" s="350"/>
      <c r="O93" s="350"/>
      <c r="P93" s="465"/>
      <c r="Q93" s="350"/>
      <c r="T93">
        <f>SQRT(U92-U91)</f>
        <v>23.317276978056931</v>
      </c>
      <c r="U93" s="15"/>
      <c r="V93" s="15"/>
    </row>
    <row r="94" spans="2:22" x14ac:dyDescent="0.2">
      <c r="B94" s="463"/>
      <c r="C94" s="350"/>
      <c r="D94" s="350"/>
      <c r="E94" s="350"/>
      <c r="F94" s="350"/>
      <c r="G94" s="350"/>
      <c r="H94" s="350"/>
      <c r="I94" s="350"/>
      <c r="J94" s="350"/>
      <c r="K94" s="350"/>
      <c r="L94" s="350"/>
      <c r="M94" s="498"/>
      <c r="N94" s="350"/>
      <c r="O94" s="350"/>
      <c r="P94" s="465"/>
      <c r="Q94" s="350"/>
      <c r="V94" s="457"/>
    </row>
    <row r="95" spans="2:22" ht="13.5" thickBot="1" x14ac:dyDescent="0.25">
      <c r="B95" s="495"/>
      <c r="C95" s="496"/>
      <c r="D95" s="496"/>
      <c r="E95" s="496"/>
      <c r="F95" s="496"/>
      <c r="G95" s="496"/>
      <c r="H95" s="496"/>
      <c r="I95" s="496"/>
      <c r="J95" s="496"/>
      <c r="K95" s="496"/>
      <c r="L95" s="496"/>
      <c r="M95" s="496"/>
      <c r="N95" s="496"/>
      <c r="O95" s="496"/>
      <c r="P95" s="497"/>
      <c r="Q95" s="166"/>
      <c r="R95" s="166"/>
      <c r="S95" s="166"/>
      <c r="T95" s="166"/>
      <c r="U95" s="166"/>
      <c r="V95">
        <f>SQRT(V94)</f>
        <v>0</v>
      </c>
    </row>
    <row r="96" spans="2:22" x14ac:dyDescent="0.2">
      <c r="B96" s="460"/>
      <c r="C96" s="461"/>
      <c r="D96" s="461"/>
      <c r="E96" s="461"/>
      <c r="F96" s="461"/>
      <c r="G96" s="461"/>
      <c r="H96" s="461"/>
      <c r="I96" s="461"/>
      <c r="J96" s="461"/>
      <c r="K96" s="461"/>
      <c r="L96" s="461"/>
      <c r="M96" s="461"/>
      <c r="N96" s="461"/>
      <c r="O96" s="461"/>
      <c r="P96" s="462"/>
      <c r="Q96" s="350"/>
      <c r="V96">
        <f>SQRT(V95)</f>
        <v>0</v>
      </c>
    </row>
    <row r="97" spans="2:22" ht="20.25" x14ac:dyDescent="0.3">
      <c r="B97" s="463"/>
      <c r="C97" s="350"/>
      <c r="D97" s="479" t="s">
        <v>1866</v>
      </c>
      <c r="E97" s="350"/>
      <c r="F97" s="350"/>
      <c r="G97" s="350"/>
      <c r="H97" s="350"/>
      <c r="I97" s="350"/>
      <c r="J97" s="350"/>
      <c r="K97" s="350"/>
      <c r="L97" s="350"/>
      <c r="M97" s="350"/>
      <c r="N97" s="350"/>
      <c r="O97" s="350"/>
      <c r="P97" s="465"/>
      <c r="Q97" s="350"/>
    </row>
    <row r="98" spans="2:22" ht="13.5" thickBot="1" x14ac:dyDescent="0.25">
      <c r="B98" s="463"/>
      <c r="C98" s="350"/>
      <c r="D98" s="475"/>
      <c r="E98" s="350"/>
      <c r="F98" s="350"/>
      <c r="G98" s="350"/>
      <c r="H98" s="464" t="s">
        <v>1832</v>
      </c>
      <c r="I98" s="350"/>
      <c r="J98" s="350"/>
      <c r="K98" s="350"/>
      <c r="L98" s="350"/>
      <c r="M98" s="350"/>
      <c r="N98" s="413"/>
      <c r="O98" s="301"/>
      <c r="P98" s="465"/>
      <c r="Q98" s="350"/>
    </row>
    <row r="99" spans="2:22" ht="16.5" thickBot="1" x14ac:dyDescent="0.3">
      <c r="B99" s="463"/>
      <c r="C99" s="350"/>
      <c r="D99" s="464"/>
      <c r="E99" s="350"/>
      <c r="F99" s="350"/>
      <c r="G99" s="350"/>
      <c r="H99" s="847">
        <v>10.5</v>
      </c>
      <c r="I99" s="350"/>
      <c r="J99" s="350"/>
      <c r="K99" s="350"/>
      <c r="L99" s="350"/>
      <c r="M99" s="350"/>
      <c r="N99" s="487"/>
      <c r="O99" s="488"/>
      <c r="P99" s="465"/>
      <c r="Q99" s="350"/>
      <c r="T99" s="472"/>
      <c r="U99" s="471"/>
    </row>
    <row r="100" spans="2:22" ht="16.5" thickBot="1" x14ac:dyDescent="0.3">
      <c r="B100" s="463"/>
      <c r="C100" s="350"/>
      <c r="D100" s="490"/>
      <c r="E100" s="350"/>
      <c r="F100" s="350"/>
      <c r="G100" s="350"/>
      <c r="H100" s="458" t="s">
        <v>1844</v>
      </c>
      <c r="I100" s="350"/>
      <c r="J100" s="350"/>
      <c r="K100" s="350"/>
      <c r="L100" s="350"/>
      <c r="M100" s="350"/>
      <c r="N100" s="350"/>
      <c r="O100" s="350"/>
      <c r="P100" s="465"/>
      <c r="Q100" s="350"/>
      <c r="S100" s="472"/>
      <c r="T100" s="472"/>
    </row>
    <row r="101" spans="2:22" ht="15.75" x14ac:dyDescent="0.25">
      <c r="B101" s="463"/>
      <c r="C101" s="350"/>
      <c r="D101" s="458"/>
      <c r="E101" s="350"/>
      <c r="F101" s="350"/>
      <c r="G101" s="350"/>
      <c r="H101" s="469"/>
      <c r="I101" s="350"/>
      <c r="J101" s="350"/>
      <c r="K101" s="350"/>
      <c r="L101" s="350"/>
      <c r="M101" s="350"/>
      <c r="N101" s="482" t="s">
        <v>1855</v>
      </c>
      <c r="O101" s="483"/>
      <c r="P101" s="465"/>
      <c r="Q101" s="350"/>
      <c r="T101" s="457"/>
    </row>
    <row r="102" spans="2:22" ht="16.5" thickBot="1" x14ac:dyDescent="0.3">
      <c r="B102" s="463"/>
      <c r="C102" s="350"/>
      <c r="D102" s="350"/>
      <c r="E102" s="350"/>
      <c r="F102" s="350"/>
      <c r="G102" s="464"/>
      <c r="H102" s="458"/>
      <c r="I102" s="350"/>
      <c r="J102" s="350"/>
      <c r="K102" s="350"/>
      <c r="L102" s="350"/>
      <c r="M102" s="350"/>
      <c r="N102" s="212" t="s">
        <v>1832</v>
      </c>
      <c r="O102" s="484" t="s">
        <v>1837</v>
      </c>
      <c r="P102" s="465"/>
      <c r="Q102" s="350"/>
    </row>
    <row r="103" spans="2:22" ht="16.5" thickBot="1" x14ac:dyDescent="0.3">
      <c r="B103" s="463"/>
      <c r="C103" s="350"/>
      <c r="D103" s="350"/>
      <c r="E103" s="350"/>
      <c r="F103" s="350"/>
      <c r="G103" s="464" t="s">
        <v>1802</v>
      </c>
      <c r="H103" s="350"/>
      <c r="I103" s="350"/>
      <c r="J103" s="350"/>
      <c r="K103" s="350"/>
      <c r="L103" s="350"/>
      <c r="M103" s="350"/>
      <c r="N103" s="485">
        <f>G116</f>
        <v>13.421090796518843</v>
      </c>
      <c r="O103" s="486">
        <f>N103/3.2808399</f>
        <v>4.0907484685610056</v>
      </c>
      <c r="P103" s="465"/>
      <c r="Q103" s="350"/>
      <c r="R103" s="457"/>
    </row>
    <row r="104" spans="2:22" ht="16.5" thickBot="1" x14ac:dyDescent="0.3">
      <c r="B104" s="463"/>
      <c r="C104" s="464" t="s">
        <v>1802</v>
      </c>
      <c r="D104" s="350"/>
      <c r="E104" s="350"/>
      <c r="F104" s="350"/>
      <c r="G104" s="477">
        <f>S112*12+1</f>
        <v>10.731881004110818</v>
      </c>
      <c r="H104" s="464"/>
      <c r="I104" s="350"/>
      <c r="J104" s="350"/>
      <c r="K104" s="350"/>
      <c r="L104" s="350"/>
      <c r="M104" s="350"/>
      <c r="N104" s="350"/>
      <c r="O104" s="350"/>
      <c r="P104" s="465"/>
      <c r="Q104" s="350"/>
      <c r="T104" s="473"/>
      <c r="U104" s="15"/>
      <c r="V104" s="472"/>
    </row>
    <row r="105" spans="2:22" ht="16.5" thickBot="1" x14ac:dyDescent="0.3">
      <c r="B105" s="463"/>
      <c r="C105" s="846">
        <v>20</v>
      </c>
      <c r="D105" s="350"/>
      <c r="E105" s="350"/>
      <c r="F105" s="350"/>
      <c r="G105" s="350"/>
      <c r="H105" s="500"/>
      <c r="I105" s="350"/>
      <c r="J105" s="350"/>
      <c r="K105" s="350"/>
      <c r="L105" s="350"/>
      <c r="M105" s="350"/>
      <c r="N105" s="350"/>
      <c r="O105" s="350"/>
      <c r="P105" s="465"/>
      <c r="Q105" s="350"/>
      <c r="T105" s="473"/>
      <c r="U105" s="457"/>
    </row>
    <row r="106" spans="2:22" ht="15.75" x14ac:dyDescent="0.25">
      <c r="B106" s="463"/>
      <c r="C106" s="458" t="s">
        <v>1844</v>
      </c>
      <c r="D106" s="350"/>
      <c r="E106" s="350"/>
      <c r="F106" s="350"/>
      <c r="G106" s="350"/>
      <c r="H106" s="350"/>
      <c r="I106" s="464"/>
      <c r="J106" s="350"/>
      <c r="K106" s="350"/>
      <c r="L106" s="350"/>
      <c r="M106" s="350"/>
      <c r="N106" s="350"/>
      <c r="O106" s="350"/>
      <c r="P106" s="465"/>
      <c r="Q106" s="350"/>
      <c r="R106" s="473" t="s">
        <v>1846</v>
      </c>
      <c r="S106" s="457">
        <f>D115-2/12</f>
        <v>8.7916666666666679</v>
      </c>
      <c r="T106" s="473">
        <f>S106*S106</f>
        <v>77.2934027777778</v>
      </c>
      <c r="U106" s="457"/>
    </row>
    <row r="107" spans="2:22" ht="13.5" thickBot="1" x14ac:dyDescent="0.25">
      <c r="B107" s="463"/>
      <c r="C107" s="350"/>
      <c r="D107" s="350"/>
      <c r="E107" s="350"/>
      <c r="F107" s="350"/>
      <c r="G107" s="350"/>
      <c r="H107" s="350"/>
      <c r="I107" s="350"/>
      <c r="J107" s="350"/>
      <c r="K107" s="350"/>
      <c r="L107" s="464"/>
      <c r="M107" s="350"/>
      <c r="N107" s="350"/>
      <c r="O107" s="350"/>
      <c r="P107" s="465"/>
      <c r="Q107" s="350"/>
      <c r="R107" s="473" t="s">
        <v>1847</v>
      </c>
      <c r="S107" s="457">
        <f>H99-(L115/2+1)/12</f>
        <v>10.140625</v>
      </c>
      <c r="T107" s="473">
        <f>S107*S107</f>
        <v>102.832275390625</v>
      </c>
      <c r="U107" s="457"/>
    </row>
    <row r="108" spans="2:22" ht="16.5" thickBot="1" x14ac:dyDescent="0.3">
      <c r="B108" s="463"/>
      <c r="C108" s="464"/>
      <c r="D108" s="350"/>
      <c r="E108" s="350"/>
      <c r="F108" s="350"/>
      <c r="G108" s="350"/>
      <c r="H108" s="1223">
        <f>Y114</f>
        <v>40.924464785848429</v>
      </c>
      <c r="I108" s="458"/>
      <c r="J108" s="350"/>
      <c r="K108" s="350"/>
      <c r="L108" s="470"/>
      <c r="M108" s="350"/>
      <c r="N108" s="350"/>
      <c r="O108" s="350"/>
      <c r="P108" s="465"/>
      <c r="Q108" s="350"/>
      <c r="R108" s="473" t="s">
        <v>1858</v>
      </c>
      <c r="S108" s="494">
        <f>G116</f>
        <v>13.421090796518843</v>
      </c>
      <c r="T108">
        <f>SUM(T106:T107)</f>
        <v>180.1256781684028</v>
      </c>
    </row>
    <row r="109" spans="2:22" ht="15.75" x14ac:dyDescent="0.25">
      <c r="B109" s="463"/>
      <c r="C109" s="499"/>
      <c r="D109" s="350"/>
      <c r="E109" s="350"/>
      <c r="F109" s="350"/>
      <c r="G109" s="350"/>
      <c r="H109" s="350"/>
      <c r="I109" s="350"/>
      <c r="J109" s="350"/>
      <c r="K109" s="350"/>
      <c r="L109" s="458"/>
      <c r="M109" s="350"/>
      <c r="N109" s="350"/>
      <c r="O109" s="350"/>
      <c r="P109" s="465"/>
      <c r="Q109" s="350"/>
      <c r="S109" s="457"/>
      <c r="T109" s="473"/>
      <c r="U109" s="457"/>
      <c r="V109" s="457"/>
    </row>
    <row r="110" spans="2:22" ht="13.5" thickBot="1" x14ac:dyDescent="0.25">
      <c r="B110" s="463"/>
      <c r="C110" s="350"/>
      <c r="D110" s="350"/>
      <c r="E110" s="350"/>
      <c r="F110" s="350"/>
      <c r="G110" s="350"/>
      <c r="H110" s="350"/>
      <c r="I110" s="464" t="s">
        <v>1802</v>
      </c>
      <c r="J110" s="350"/>
      <c r="K110" s="350"/>
      <c r="L110" s="350"/>
      <c r="M110" s="350"/>
      <c r="N110" s="350"/>
      <c r="O110" s="350"/>
      <c r="P110" s="465"/>
      <c r="Q110" s="350"/>
      <c r="R110" s="473" t="s">
        <v>1849</v>
      </c>
      <c r="S110" s="457">
        <f>(I111/2)/12</f>
        <v>0.53125</v>
      </c>
      <c r="T110" s="501">
        <f>S110*S110</f>
        <v>0.2822265625</v>
      </c>
      <c r="U110" s="457"/>
      <c r="V110" s="457"/>
    </row>
    <row r="111" spans="2:22" ht="15.75" thickBot="1" x14ac:dyDescent="0.3">
      <c r="B111" s="463"/>
      <c r="C111" s="350"/>
      <c r="D111" s="350"/>
      <c r="E111" s="350"/>
      <c r="F111" s="350"/>
      <c r="G111" s="350"/>
      <c r="H111" s="350"/>
      <c r="I111" s="848">
        <v>12.75</v>
      </c>
      <c r="J111" s="350"/>
      <c r="K111" s="350"/>
      <c r="L111" s="350"/>
      <c r="M111" s="350"/>
      <c r="N111" s="464" t="s">
        <v>1832</v>
      </c>
      <c r="O111" s="350"/>
      <c r="P111" s="465"/>
      <c r="Q111" s="350"/>
      <c r="R111" s="473" t="s">
        <v>1850</v>
      </c>
      <c r="S111" s="457">
        <f>S110*(S107/S106)</f>
        <v>0.61276288507109</v>
      </c>
      <c r="T111" s="501">
        <f>S111*S111</f>
        <v>0.37547835332064583</v>
      </c>
      <c r="U111" s="457"/>
      <c r="V111" s="457"/>
    </row>
    <row r="112" spans="2:22" ht="16.5" thickBot="1" x14ac:dyDescent="0.3">
      <c r="B112" s="463"/>
      <c r="C112" s="350"/>
      <c r="D112" s="350"/>
      <c r="E112" s="350"/>
      <c r="F112" s="350"/>
      <c r="G112" s="350"/>
      <c r="H112" s="350"/>
      <c r="I112" s="458" t="s">
        <v>1844</v>
      </c>
      <c r="J112" s="350"/>
      <c r="K112" s="350"/>
      <c r="L112" s="350"/>
      <c r="M112" s="350"/>
      <c r="N112" s="847">
        <v>10.625</v>
      </c>
      <c r="O112" s="350"/>
      <c r="P112" s="465"/>
      <c r="Q112" s="350"/>
      <c r="R112" s="473" t="s">
        <v>1851</v>
      </c>
      <c r="S112" s="457">
        <f>SQRT(T112)</f>
        <v>0.81099008367590153</v>
      </c>
      <c r="T112" s="457">
        <f>SUM(T110:T111)</f>
        <v>0.65770491582064583</v>
      </c>
      <c r="U112" s="457"/>
      <c r="V112" s="457"/>
    </row>
    <row r="113" spans="2:25" ht="16.5" thickTop="1" x14ac:dyDescent="0.25">
      <c r="B113" s="463"/>
      <c r="C113" s="350"/>
      <c r="D113" s="350"/>
      <c r="E113" s="350"/>
      <c r="F113" s="350"/>
      <c r="G113" s="350"/>
      <c r="H113" s="350"/>
      <c r="I113" s="350"/>
      <c r="J113" s="350"/>
      <c r="K113" s="492"/>
      <c r="L113" s="464"/>
      <c r="M113" s="350"/>
      <c r="N113" s="458" t="s">
        <v>1844</v>
      </c>
      <c r="O113" s="458"/>
      <c r="P113" s="465"/>
      <c r="Q113" s="350"/>
      <c r="S113" s="797" t="s">
        <v>33</v>
      </c>
      <c r="T113" s="798" t="s">
        <v>31</v>
      </c>
      <c r="V113" s="797" t="s">
        <v>32</v>
      </c>
      <c r="W113" s="803" t="s">
        <v>1872</v>
      </c>
      <c r="X113" s="803" t="s">
        <v>1873</v>
      </c>
      <c r="Y113" s="805" t="s">
        <v>1779</v>
      </c>
    </row>
    <row r="114" spans="2:25" ht="16.5" thickBot="1" x14ac:dyDescent="0.3">
      <c r="B114" s="463"/>
      <c r="C114" s="350"/>
      <c r="D114" s="464" t="s">
        <v>1832</v>
      </c>
      <c r="E114" s="350"/>
      <c r="F114" s="350"/>
      <c r="G114" s="350"/>
      <c r="H114" s="350"/>
      <c r="I114" s="350"/>
      <c r="J114" s="350"/>
      <c r="K114" s="464"/>
      <c r="L114" s="464" t="s">
        <v>1802</v>
      </c>
      <c r="M114" s="350"/>
      <c r="N114" s="350"/>
      <c r="O114" s="350"/>
      <c r="P114" s="465"/>
      <c r="Q114" s="350"/>
      <c r="S114" s="1219">
        <f>S116</f>
        <v>10.140625</v>
      </c>
      <c r="T114" s="1218">
        <f>S115</f>
        <v>8.7916666666666679</v>
      </c>
      <c r="U114" s="795"/>
      <c r="V114" s="800">
        <f>SQRT(SUMSQ(S114)+SUMSQ(T114))</f>
        <v>13.421090796518843</v>
      </c>
      <c r="W114" s="801">
        <v>90</v>
      </c>
      <c r="X114" s="811">
        <f>ATAN(S114/T114)*180/PI()</f>
        <v>49.075535214151579</v>
      </c>
      <c r="Y114" s="812">
        <f>ATAN(T114/S114)*180/PI()</f>
        <v>40.924464785848429</v>
      </c>
    </row>
    <row r="115" spans="2:25" ht="17.25" thickTop="1" thickBot="1" x14ac:dyDescent="0.3">
      <c r="B115" s="463"/>
      <c r="C115" s="350"/>
      <c r="D115" s="477">
        <f>N112-C105/12</f>
        <v>8.9583333333333339</v>
      </c>
      <c r="E115" s="350"/>
      <c r="F115" s="350"/>
      <c r="G115" s="464" t="s">
        <v>1832</v>
      </c>
      <c r="H115" s="350"/>
      <c r="I115" s="350"/>
      <c r="J115" s="350"/>
      <c r="K115" s="493"/>
      <c r="L115" s="846">
        <v>6.625</v>
      </c>
      <c r="M115" s="350"/>
      <c r="N115" s="350"/>
      <c r="O115" s="350"/>
      <c r="P115" s="465"/>
      <c r="Q115" s="350"/>
      <c r="S115">
        <f>D115-(2/12)</f>
        <v>8.7916666666666679</v>
      </c>
      <c r="T115" s="473"/>
      <c r="U115" s="457"/>
      <c r="V115" s="457"/>
    </row>
    <row r="116" spans="2:25" ht="16.5" thickBot="1" x14ac:dyDescent="0.3">
      <c r="B116" s="463"/>
      <c r="C116" s="350"/>
      <c r="D116" s="470"/>
      <c r="E116" s="350"/>
      <c r="F116" s="350"/>
      <c r="G116" s="459">
        <f>SQRT(T108)</f>
        <v>13.421090796518843</v>
      </c>
      <c r="H116" s="350"/>
      <c r="I116" s="350"/>
      <c r="J116" s="350"/>
      <c r="K116" s="458"/>
      <c r="L116" s="458" t="s">
        <v>1844</v>
      </c>
      <c r="M116" s="350"/>
      <c r="N116" s="350"/>
      <c r="O116" s="350"/>
      <c r="P116" s="465"/>
      <c r="Q116" s="350"/>
      <c r="S116" s="457">
        <f>H99-(1/12)-(L115/2)/12</f>
        <v>10.140625</v>
      </c>
      <c r="T116" s="473"/>
      <c r="U116" s="457"/>
      <c r="V116" s="457"/>
    </row>
    <row r="117" spans="2:25" ht="15.75" x14ac:dyDescent="0.25">
      <c r="B117" s="463"/>
      <c r="C117" s="350"/>
      <c r="D117" s="458"/>
      <c r="E117" s="350"/>
      <c r="F117" s="350"/>
      <c r="G117" s="350"/>
      <c r="H117" s="350"/>
      <c r="I117" s="350"/>
      <c r="J117" s="350"/>
      <c r="K117" s="464"/>
      <c r="L117" s="350"/>
      <c r="M117" s="350"/>
      <c r="N117" s="350"/>
      <c r="O117" s="350"/>
      <c r="P117" s="465"/>
      <c r="Q117" s="350"/>
      <c r="T117" s="473"/>
      <c r="U117" s="457"/>
      <c r="V117" s="457"/>
    </row>
    <row r="118" spans="2:25" ht="15.75" x14ac:dyDescent="0.25">
      <c r="B118" s="463"/>
      <c r="C118" s="350"/>
      <c r="D118" s="350"/>
      <c r="E118" s="350"/>
      <c r="F118" s="350"/>
      <c r="G118" s="350"/>
      <c r="H118" s="350"/>
      <c r="I118" s="350"/>
      <c r="J118" s="350"/>
      <c r="K118" s="491"/>
      <c r="L118" s="350"/>
      <c r="M118" s="350"/>
      <c r="N118" s="350"/>
      <c r="O118" s="350"/>
      <c r="P118" s="465"/>
      <c r="Q118" s="350"/>
      <c r="T118" s="473"/>
      <c r="U118" s="457"/>
      <c r="V118" s="457"/>
    </row>
    <row r="119" spans="2:25" x14ac:dyDescent="0.2">
      <c r="B119" s="463"/>
      <c r="C119" s="350"/>
      <c r="D119" s="350"/>
      <c r="E119" s="350"/>
      <c r="F119" s="350"/>
      <c r="G119" s="350"/>
      <c r="H119" s="350"/>
      <c r="I119" s="350"/>
      <c r="J119" s="350"/>
      <c r="K119" s="350"/>
      <c r="L119" s="350"/>
      <c r="M119" s="350"/>
      <c r="N119" s="350"/>
      <c r="O119" s="350"/>
      <c r="P119" s="465"/>
      <c r="Q119" s="350"/>
      <c r="T119" s="473"/>
      <c r="U119" s="457"/>
      <c r="V119" s="457"/>
    </row>
    <row r="120" spans="2:25" x14ac:dyDescent="0.2">
      <c r="B120" s="463"/>
      <c r="C120" s="350"/>
      <c r="D120" s="350"/>
      <c r="E120" s="350"/>
      <c r="F120" s="350"/>
      <c r="G120" s="350"/>
      <c r="H120" s="350"/>
      <c r="I120" s="350"/>
      <c r="J120" s="350"/>
      <c r="K120" s="350"/>
      <c r="L120" s="350"/>
      <c r="M120" s="350"/>
      <c r="N120" s="350"/>
      <c r="O120" s="350"/>
      <c r="P120" s="465"/>
      <c r="Q120" s="350"/>
      <c r="T120" s="473"/>
      <c r="U120" s="457"/>
      <c r="V120" s="457"/>
    </row>
    <row r="121" spans="2:25" x14ac:dyDescent="0.2">
      <c r="B121" s="463"/>
      <c r="C121" s="350"/>
      <c r="D121" s="350"/>
      <c r="E121" s="350"/>
      <c r="F121" s="350"/>
      <c r="G121" s="350"/>
      <c r="H121" s="350"/>
      <c r="I121" s="350"/>
      <c r="J121" s="350"/>
      <c r="K121" s="350"/>
      <c r="L121" s="350"/>
      <c r="M121" s="350"/>
      <c r="N121" s="350"/>
      <c r="O121" s="350"/>
      <c r="P121" s="465"/>
      <c r="Q121" s="350"/>
      <c r="T121" s="473"/>
      <c r="U121" s="457"/>
      <c r="V121" s="457"/>
    </row>
    <row r="122" spans="2:25" x14ac:dyDescent="0.2">
      <c r="B122" s="463"/>
      <c r="C122" s="350"/>
      <c r="D122" s="350"/>
      <c r="E122" s="350"/>
      <c r="F122" s="350"/>
      <c r="G122" s="350"/>
      <c r="H122" s="350"/>
      <c r="I122" s="350"/>
      <c r="J122" s="350"/>
      <c r="K122" s="350"/>
      <c r="L122" s="350"/>
      <c r="M122" s="350"/>
      <c r="N122" s="350"/>
      <c r="O122" s="350"/>
      <c r="P122" s="465"/>
      <c r="Q122" s="350"/>
      <c r="T122" s="473"/>
      <c r="U122" s="457"/>
      <c r="V122" s="457"/>
    </row>
    <row r="123" spans="2:25" x14ac:dyDescent="0.2">
      <c r="B123" s="463"/>
      <c r="C123" s="350"/>
      <c r="D123" s="350"/>
      <c r="E123" s="350"/>
      <c r="F123" s="350"/>
      <c r="G123" s="350"/>
      <c r="H123" s="350"/>
      <c r="I123" s="350"/>
      <c r="J123" s="350"/>
      <c r="K123" s="350"/>
      <c r="L123" s="350"/>
      <c r="M123" s="464"/>
      <c r="N123" s="350"/>
      <c r="O123" s="350"/>
      <c r="P123" s="465"/>
      <c r="Q123" s="350"/>
      <c r="T123" s="473"/>
      <c r="U123" s="457"/>
      <c r="V123" s="457"/>
    </row>
    <row r="124" spans="2:25" ht="15.75" x14ac:dyDescent="0.25">
      <c r="B124" s="463"/>
      <c r="C124" s="350"/>
      <c r="D124" s="350"/>
      <c r="E124" s="350"/>
      <c r="F124" s="464"/>
      <c r="G124" s="350"/>
      <c r="H124" s="350"/>
      <c r="I124" s="350"/>
      <c r="J124" s="350"/>
      <c r="K124" s="350"/>
      <c r="L124" s="350"/>
      <c r="M124" s="490"/>
      <c r="N124" s="350"/>
      <c r="O124" s="350"/>
      <c r="P124" s="465"/>
      <c r="Q124" s="350"/>
      <c r="T124" s="457"/>
      <c r="U124" s="457"/>
      <c r="V124" s="457"/>
    </row>
    <row r="125" spans="2:25" ht="15.75" x14ac:dyDescent="0.25">
      <c r="B125" s="463"/>
      <c r="C125" s="350"/>
      <c r="D125" s="350"/>
      <c r="E125" s="350"/>
      <c r="F125" s="499"/>
      <c r="G125" s="350"/>
      <c r="H125" s="350"/>
      <c r="I125" s="350"/>
      <c r="J125" s="350"/>
      <c r="K125" s="350"/>
      <c r="L125" s="350"/>
      <c r="M125" s="458"/>
      <c r="N125" s="350"/>
      <c r="O125" s="350"/>
      <c r="P125" s="465"/>
      <c r="Q125" s="350"/>
      <c r="T125" s="494"/>
      <c r="V125" s="471"/>
    </row>
    <row r="126" spans="2:25" x14ac:dyDescent="0.2">
      <c r="B126" s="463"/>
      <c r="C126" s="350"/>
      <c r="D126" s="350"/>
      <c r="E126" s="350"/>
      <c r="F126" s="350"/>
      <c r="G126" s="350"/>
      <c r="H126" s="350"/>
      <c r="I126" s="350"/>
      <c r="J126" s="350"/>
      <c r="K126" s="350"/>
      <c r="L126" s="350"/>
      <c r="M126" s="464"/>
      <c r="N126" s="350"/>
      <c r="O126" s="350"/>
      <c r="P126" s="465"/>
      <c r="Q126" s="350"/>
      <c r="U126" s="15"/>
      <c r="V126" s="15"/>
    </row>
    <row r="127" spans="2:25" x14ac:dyDescent="0.2">
      <c r="B127" s="463"/>
      <c r="C127" s="350"/>
      <c r="D127" s="350"/>
      <c r="E127" s="350"/>
      <c r="F127" s="350"/>
      <c r="G127" s="350"/>
      <c r="H127" s="350"/>
      <c r="I127" s="350"/>
      <c r="J127" s="350"/>
      <c r="K127" s="350"/>
      <c r="L127" s="350"/>
      <c r="M127" s="498"/>
      <c r="N127" s="350"/>
      <c r="O127" s="350"/>
      <c r="P127" s="465"/>
      <c r="Q127" s="350"/>
      <c r="V127" s="457"/>
    </row>
    <row r="128" spans="2:25" ht="13.5" thickBot="1" x14ac:dyDescent="0.25">
      <c r="B128" s="495"/>
      <c r="C128" s="496"/>
      <c r="D128" s="496"/>
      <c r="E128" s="496"/>
      <c r="F128" s="496"/>
      <c r="G128" s="496"/>
      <c r="H128" s="496"/>
      <c r="I128" s="496"/>
      <c r="J128" s="496"/>
      <c r="K128" s="496"/>
      <c r="L128" s="496"/>
      <c r="M128" s="496"/>
      <c r="N128" s="496"/>
      <c r="O128" s="496"/>
      <c r="P128" s="497"/>
      <c r="Q128" s="166"/>
      <c r="R128" s="166"/>
      <c r="S128" s="166"/>
      <c r="T128" s="166"/>
      <c r="U128" s="166"/>
    </row>
    <row r="129" spans="2:21" ht="20.25" x14ac:dyDescent="0.3">
      <c r="B129" s="1172"/>
      <c r="C129" s="1173"/>
      <c r="D129" s="478" t="s">
        <v>723</v>
      </c>
      <c r="E129" s="1173"/>
      <c r="F129" s="1173"/>
      <c r="G129" s="1173"/>
      <c r="H129" s="1173"/>
      <c r="I129" s="1173"/>
      <c r="J129" s="1173"/>
      <c r="K129" s="1173"/>
      <c r="L129" s="1173"/>
      <c r="M129" s="1173"/>
      <c r="N129" s="1173"/>
      <c r="O129" s="1173"/>
      <c r="P129" s="1174"/>
      <c r="Q129" s="166"/>
      <c r="R129" s="166"/>
      <c r="S129" s="166"/>
      <c r="T129" s="166"/>
      <c r="U129" s="166"/>
    </row>
    <row r="130" spans="2:21" x14ac:dyDescent="0.2">
      <c r="B130" s="463"/>
      <c r="C130" s="350"/>
      <c r="D130" s="350"/>
      <c r="E130" s="350"/>
      <c r="F130" s="350"/>
      <c r="G130" s="350"/>
      <c r="H130" s="350"/>
      <c r="I130" s="350"/>
      <c r="J130" s="350"/>
      <c r="K130" s="350"/>
      <c r="L130" s="350"/>
      <c r="M130" s="350"/>
      <c r="N130" s="350"/>
      <c r="O130" s="350"/>
      <c r="P130" s="465"/>
    </row>
    <row r="131" spans="2:21" ht="13.5" thickBot="1" x14ac:dyDescent="0.25">
      <c r="B131" s="463"/>
      <c r="C131" s="350"/>
      <c r="D131" s="350"/>
      <c r="E131" s="350"/>
      <c r="F131" s="350"/>
      <c r="G131" s="350"/>
      <c r="H131" s="464" t="s">
        <v>98</v>
      </c>
      <c r="I131" s="350"/>
      <c r="J131" s="350"/>
      <c r="K131" s="350"/>
      <c r="L131" s="350"/>
      <c r="M131" s="350"/>
      <c r="N131" s="350"/>
      <c r="O131" s="350"/>
      <c r="P131" s="465"/>
    </row>
    <row r="132" spans="2:21" ht="16.5" thickBot="1" x14ac:dyDescent="0.3">
      <c r="B132" s="463"/>
      <c r="C132" s="350"/>
      <c r="D132" s="350"/>
      <c r="E132" s="350"/>
      <c r="F132" s="350"/>
      <c r="G132" s="350"/>
      <c r="H132" s="1166">
        <v>3000</v>
      </c>
      <c r="I132" s="350"/>
      <c r="J132" s="350"/>
      <c r="K132" s="350"/>
      <c r="L132" s="350"/>
      <c r="M132" s="350"/>
      <c r="N132" s="350"/>
      <c r="O132" s="350"/>
      <c r="P132" s="465"/>
    </row>
    <row r="133" spans="2:21" ht="16.5" thickBot="1" x14ac:dyDescent="0.3">
      <c r="B133" s="463"/>
      <c r="C133" s="464" t="s">
        <v>98</v>
      </c>
      <c r="D133" s="350"/>
      <c r="E133" s="350"/>
      <c r="F133" s="350"/>
      <c r="G133" s="464" t="s">
        <v>98</v>
      </c>
      <c r="H133" s="458" t="s">
        <v>1844</v>
      </c>
      <c r="I133" s="350"/>
      <c r="J133" s="350"/>
      <c r="K133" s="350"/>
      <c r="L133" s="350"/>
      <c r="M133" s="350"/>
      <c r="N133" s="350"/>
      <c r="O133" s="350"/>
      <c r="P133" s="465"/>
    </row>
    <row r="134" spans="2:21" ht="16.5" thickBot="1" x14ac:dyDescent="0.3">
      <c r="B134" s="463"/>
      <c r="C134" s="1167">
        <f>C139/2</f>
        <v>273</v>
      </c>
      <c r="D134" s="350"/>
      <c r="E134" s="350"/>
      <c r="F134" s="350"/>
      <c r="G134" s="1167">
        <f>((D150/2)+50+V152)-X150</f>
        <v>-183.5746909297344</v>
      </c>
      <c r="H134" s="350"/>
      <c r="I134" s="350"/>
      <c r="J134" s="350"/>
      <c r="K134" s="350"/>
      <c r="L134" s="350"/>
      <c r="M134" s="350"/>
      <c r="N134" s="350"/>
      <c r="O134" s="350"/>
      <c r="P134" s="465"/>
    </row>
    <row r="135" spans="2:21" ht="13.5" thickBot="1" x14ac:dyDescent="0.25">
      <c r="B135" s="463"/>
      <c r="C135" s="350"/>
      <c r="D135" s="350"/>
      <c r="E135" s="350"/>
      <c r="F135" s="350"/>
      <c r="G135" s="350"/>
      <c r="H135" s="350"/>
      <c r="I135" s="350"/>
      <c r="J135" s="350"/>
      <c r="K135" s="350"/>
      <c r="L135" s="350"/>
      <c r="M135" s="350"/>
      <c r="N135" s="350"/>
      <c r="O135" s="350"/>
      <c r="P135" s="465"/>
    </row>
    <row r="136" spans="2:21" ht="15.75" x14ac:dyDescent="0.25">
      <c r="B136" s="463"/>
      <c r="C136" s="350"/>
      <c r="D136" s="350"/>
      <c r="E136" s="350"/>
      <c r="F136" s="350"/>
      <c r="G136" s="350"/>
      <c r="H136" s="350"/>
      <c r="I136" s="350"/>
      <c r="J136" s="350"/>
      <c r="K136" s="350"/>
      <c r="L136" s="350"/>
      <c r="M136" s="350"/>
      <c r="N136" s="482" t="s">
        <v>1855</v>
      </c>
      <c r="O136" s="483"/>
      <c r="P136" s="465"/>
    </row>
    <row r="137" spans="2:21" ht="13.5" thickBot="1" x14ac:dyDescent="0.25">
      <c r="B137" s="463"/>
      <c r="C137" s="350"/>
      <c r="D137" s="350"/>
      <c r="E137" s="350"/>
      <c r="F137" s="350"/>
      <c r="G137" s="350"/>
      <c r="H137" s="350"/>
      <c r="I137" s="350"/>
      <c r="J137" s="350"/>
      <c r="K137" s="350"/>
      <c r="L137" s="350"/>
      <c r="M137" s="350"/>
      <c r="N137" s="212" t="s">
        <v>1832</v>
      </c>
      <c r="O137" s="484" t="s">
        <v>1837</v>
      </c>
      <c r="P137" s="465"/>
      <c r="R137" s="1091">
        <f>H132-((D150/2+50)+(L142/2+50))</f>
        <v>2600</v>
      </c>
      <c r="S137">
        <f>R137*R137</f>
        <v>6760000</v>
      </c>
    </row>
    <row r="138" spans="2:21" ht="16.5" thickBot="1" x14ac:dyDescent="0.3">
      <c r="B138" s="463"/>
      <c r="C138" s="464" t="s">
        <v>98</v>
      </c>
      <c r="D138" s="350"/>
      <c r="E138" s="350"/>
      <c r="F138" s="350"/>
      <c r="G138" s="350"/>
      <c r="H138" s="350"/>
      <c r="I138" s="350"/>
      <c r="J138" s="350"/>
      <c r="K138" s="350"/>
      <c r="L138" s="350"/>
      <c r="M138" s="350"/>
      <c r="N138" s="485">
        <f>(G150/25.4)/12</f>
        <v>8.6012403646156681</v>
      </c>
      <c r="O138" s="486">
        <f>G150/1000</f>
        <v>2.6216580631348552</v>
      </c>
      <c r="P138" s="465"/>
      <c r="R138" s="1091">
        <f>N146-C139</f>
        <v>454</v>
      </c>
      <c r="S138">
        <f>R138*R138</f>
        <v>206116</v>
      </c>
    </row>
    <row r="139" spans="2:21" ht="16.5" thickBot="1" x14ac:dyDescent="0.3">
      <c r="B139" s="463"/>
      <c r="C139" s="1166">
        <v>546</v>
      </c>
      <c r="D139" s="350"/>
      <c r="E139" s="350"/>
      <c r="F139" s="350"/>
      <c r="G139" s="350"/>
      <c r="H139" s="350"/>
      <c r="I139" s="350"/>
      <c r="J139" s="350"/>
      <c r="K139" s="350"/>
      <c r="L139" s="350"/>
      <c r="M139" s="350"/>
      <c r="N139" s="350"/>
      <c r="O139" s="350"/>
      <c r="P139" s="465"/>
      <c r="S139">
        <f>SUM(S137:S138)</f>
        <v>6966116</v>
      </c>
    </row>
    <row r="140" spans="2:21" ht="15.75" x14ac:dyDescent="0.25">
      <c r="B140" s="463"/>
      <c r="C140" s="458" t="s">
        <v>1844</v>
      </c>
      <c r="D140" s="350"/>
      <c r="E140" s="350"/>
      <c r="F140" s="350"/>
      <c r="G140" s="350"/>
      <c r="H140" s="350"/>
      <c r="I140" s="464"/>
      <c r="J140" s="350"/>
      <c r="K140" s="350"/>
      <c r="L140" s="350"/>
      <c r="M140" s="350"/>
      <c r="N140" s="350"/>
      <c r="O140" s="350"/>
      <c r="P140" s="465"/>
      <c r="S140" s="457">
        <f>I145</f>
        <v>305</v>
      </c>
    </row>
    <row r="141" spans="2:21" ht="13.5" thickBot="1" x14ac:dyDescent="0.25">
      <c r="B141" s="463"/>
      <c r="C141" s="350"/>
      <c r="D141" s="350"/>
      <c r="E141" s="350"/>
      <c r="F141" s="350"/>
      <c r="G141" s="350"/>
      <c r="H141" s="464"/>
      <c r="I141" s="350"/>
      <c r="J141" s="350"/>
      <c r="K141" s="350"/>
      <c r="L141" s="464" t="s">
        <v>98</v>
      </c>
      <c r="M141" s="350"/>
      <c r="N141" s="350"/>
      <c r="O141" s="350"/>
      <c r="P141" s="465"/>
      <c r="S141">
        <f>S140*S140</f>
        <v>93025</v>
      </c>
    </row>
    <row r="142" spans="2:21" ht="16.5" thickBot="1" x14ac:dyDescent="0.3">
      <c r="B142" s="463"/>
      <c r="C142" s="350"/>
      <c r="D142" s="350"/>
      <c r="E142" s="350"/>
      <c r="F142" s="350"/>
      <c r="G142" s="350"/>
      <c r="H142" s="1168">
        <f>X146+Y148</f>
        <v>16.54074139846421</v>
      </c>
      <c r="I142" s="458"/>
      <c r="J142" s="350"/>
      <c r="K142" s="350"/>
      <c r="L142" s="1166">
        <v>300</v>
      </c>
      <c r="M142" s="350"/>
      <c r="N142" s="350"/>
      <c r="O142" s="350"/>
      <c r="P142" s="465"/>
      <c r="S142">
        <f>S139-S141</f>
        <v>6873091</v>
      </c>
    </row>
    <row r="143" spans="2:21" ht="15.75" x14ac:dyDescent="0.25">
      <c r="B143" s="463"/>
      <c r="C143" s="350"/>
      <c r="D143" s="350"/>
      <c r="E143" s="350"/>
      <c r="F143" s="350"/>
      <c r="G143" s="350"/>
      <c r="H143" s="910"/>
      <c r="I143" s="350"/>
      <c r="J143" s="350"/>
      <c r="K143" s="350"/>
      <c r="L143" s="458" t="s">
        <v>1844</v>
      </c>
      <c r="M143" s="350"/>
      <c r="N143" s="350"/>
      <c r="O143" s="350"/>
      <c r="P143" s="465"/>
      <c r="S143" s="457">
        <f>SQRT(S142)</f>
        <v>2621.6580631348552</v>
      </c>
    </row>
    <row r="144" spans="2:21" ht="13.5" thickBot="1" x14ac:dyDescent="0.25">
      <c r="B144" s="463"/>
      <c r="C144" s="350"/>
      <c r="D144" s="350"/>
      <c r="E144" s="350"/>
      <c r="F144" s="350"/>
      <c r="G144" s="350"/>
      <c r="H144" s="350"/>
      <c r="I144" s="464" t="s">
        <v>98</v>
      </c>
      <c r="J144" s="350"/>
      <c r="K144" s="350"/>
      <c r="L144" s="350"/>
      <c r="M144" s="350"/>
      <c r="N144" s="350"/>
      <c r="O144" s="350"/>
      <c r="P144" s="465"/>
    </row>
    <row r="145" spans="2:25" ht="17.25" thickTop="1" thickBot="1" x14ac:dyDescent="0.3">
      <c r="B145" s="463"/>
      <c r="C145" s="350"/>
      <c r="D145" s="350"/>
      <c r="E145" s="350"/>
      <c r="F145" s="350"/>
      <c r="G145" s="350"/>
      <c r="H145" s="350"/>
      <c r="I145" s="1166">
        <v>305</v>
      </c>
      <c r="J145" s="350"/>
      <c r="K145" s="350"/>
      <c r="L145" s="350"/>
      <c r="M145" s="350"/>
      <c r="N145" s="464" t="s">
        <v>98</v>
      </c>
      <c r="O145" s="350"/>
      <c r="P145" s="465"/>
      <c r="S145" s="797" t="s">
        <v>33</v>
      </c>
      <c r="T145" s="798" t="s">
        <v>31</v>
      </c>
      <c r="V145" s="797" t="s">
        <v>32</v>
      </c>
      <c r="W145" s="803" t="s">
        <v>1872</v>
      </c>
      <c r="X145" s="803" t="s">
        <v>1873</v>
      </c>
      <c r="Y145" s="805" t="s">
        <v>1779</v>
      </c>
    </row>
    <row r="146" spans="2:25" ht="16.5" thickBot="1" x14ac:dyDescent="0.3">
      <c r="B146" s="463"/>
      <c r="C146" s="350"/>
      <c r="D146" s="350"/>
      <c r="E146" s="350"/>
      <c r="F146" s="350"/>
      <c r="G146" s="350"/>
      <c r="H146" s="350"/>
      <c r="I146" s="458" t="s">
        <v>1844</v>
      </c>
      <c r="J146" s="350"/>
      <c r="K146" s="350"/>
      <c r="L146" s="350"/>
      <c r="M146" s="350"/>
      <c r="N146" s="1166">
        <v>1000</v>
      </c>
      <c r="O146" s="350"/>
      <c r="P146" s="465"/>
      <c r="S146" s="1169">
        <f>N146-C139</f>
        <v>454</v>
      </c>
      <c r="T146" s="1170">
        <f>R137</f>
        <v>2600</v>
      </c>
      <c r="U146" s="795"/>
      <c r="V146" s="800">
        <f>SQRT(SUMSQ(S146)+SUMSQ(T146))</f>
        <v>2639.3400690324088</v>
      </c>
      <c r="W146" s="801">
        <v>90</v>
      </c>
      <c r="X146" s="811">
        <f>ATAN(S146/T146)*180/PI()</f>
        <v>9.9048620970516357</v>
      </c>
      <c r="Y146" s="812">
        <f>ATAN(T146/S146)*180/PI()</f>
        <v>80.095137902948366</v>
      </c>
    </row>
    <row r="147" spans="2:25" ht="16.5" thickTop="1" x14ac:dyDescent="0.25">
      <c r="B147" s="463"/>
      <c r="C147" s="350"/>
      <c r="D147" s="350"/>
      <c r="E147" s="350"/>
      <c r="F147" s="350"/>
      <c r="G147" s="350"/>
      <c r="H147" s="350"/>
      <c r="I147" s="350"/>
      <c r="J147" s="350"/>
      <c r="K147" s="350"/>
      <c r="L147" s="350"/>
      <c r="M147" s="350"/>
      <c r="N147" s="458" t="s">
        <v>1844</v>
      </c>
      <c r="O147" s="458"/>
      <c r="P147" s="465"/>
      <c r="S147" s="797" t="s">
        <v>33</v>
      </c>
      <c r="T147" s="798" t="s">
        <v>31</v>
      </c>
      <c r="V147" s="797" t="s">
        <v>32</v>
      </c>
      <c r="W147" s="803" t="s">
        <v>1872</v>
      </c>
      <c r="X147" s="803" t="s">
        <v>1873</v>
      </c>
      <c r="Y147" s="805" t="s">
        <v>1779</v>
      </c>
    </row>
    <row r="148" spans="2:25" ht="16.5" thickBot="1" x14ac:dyDescent="0.3">
      <c r="B148" s="463"/>
      <c r="C148" s="350"/>
      <c r="D148" s="350"/>
      <c r="E148" s="350"/>
      <c r="F148" s="350"/>
      <c r="G148" s="350"/>
      <c r="H148" s="350"/>
      <c r="I148" s="350"/>
      <c r="J148" s="350"/>
      <c r="K148" s="350"/>
      <c r="L148" s="350"/>
      <c r="M148" s="350"/>
      <c r="N148" s="350"/>
      <c r="O148" s="350"/>
      <c r="P148" s="465"/>
      <c r="S148" s="1169">
        <f>S143</f>
        <v>2621.6580631348552</v>
      </c>
      <c r="T148" s="1170">
        <f>I145</f>
        <v>305</v>
      </c>
      <c r="U148" s="795"/>
      <c r="V148" s="800">
        <f>SQRT(SUMSQ(S148)+SUMSQ(T148))</f>
        <v>2639.3400690324088</v>
      </c>
      <c r="W148" s="801">
        <v>90</v>
      </c>
      <c r="X148" s="811">
        <f>ATAN(S148/T148)*180/PI()</f>
        <v>83.364120698587428</v>
      </c>
      <c r="Y148" s="812">
        <f>ATAN(T148/S148)*180/PI()</f>
        <v>6.635879301412575</v>
      </c>
    </row>
    <row r="149" spans="2:25" ht="17.25" thickTop="1" thickBot="1" x14ac:dyDescent="0.3">
      <c r="B149" s="463"/>
      <c r="C149" s="350"/>
      <c r="D149" s="464" t="s">
        <v>98</v>
      </c>
      <c r="E149" s="350"/>
      <c r="F149" s="350"/>
      <c r="G149" s="464" t="s">
        <v>98</v>
      </c>
      <c r="H149" s="350"/>
      <c r="I149" s="350"/>
      <c r="J149" s="350"/>
      <c r="K149" s="350"/>
      <c r="L149" s="350"/>
      <c r="M149" s="350"/>
      <c r="N149" s="350"/>
      <c r="O149" s="350"/>
      <c r="P149" s="465"/>
      <c r="S149" s="797" t="s">
        <v>33</v>
      </c>
      <c r="T149" s="805" t="s">
        <v>1873</v>
      </c>
      <c r="V149" s="797" t="s">
        <v>32</v>
      </c>
      <c r="W149" s="803" t="s">
        <v>1872</v>
      </c>
      <c r="X149" s="804" t="s">
        <v>31</v>
      </c>
      <c r="Y149" s="806" t="s">
        <v>1779</v>
      </c>
    </row>
    <row r="150" spans="2:25" ht="16.5" thickBot="1" x14ac:dyDescent="0.3">
      <c r="B150" s="463"/>
      <c r="C150" s="350"/>
      <c r="D150" s="1166">
        <v>300</v>
      </c>
      <c r="E150" s="350"/>
      <c r="F150" s="350"/>
      <c r="G150" s="1167">
        <f>S143</f>
        <v>2621.6580631348552</v>
      </c>
      <c r="H150" s="350"/>
      <c r="I150" s="350"/>
      <c r="J150" s="350"/>
      <c r="K150" s="350"/>
      <c r="L150" s="350"/>
      <c r="M150" s="350"/>
      <c r="N150" s="350"/>
      <c r="O150" s="350"/>
      <c r="P150" s="465"/>
      <c r="S150" s="1169">
        <f>C134</f>
        <v>273</v>
      </c>
      <c r="T150" s="1171">
        <f>H142</f>
        <v>16.54074139846421</v>
      </c>
      <c r="U150" s="795"/>
      <c r="V150" s="800">
        <f>S150/SIN(T150*PI()/180)</f>
        <v>958.91400430679914</v>
      </c>
      <c r="W150" s="801">
        <v>90</v>
      </c>
      <c r="X150" s="802">
        <f>S150/TAN(T150*PI()/180)</f>
        <v>919.23178124763501</v>
      </c>
      <c r="Y150" s="812">
        <f>90-T150</f>
        <v>73.459258601535794</v>
      </c>
    </row>
    <row r="151" spans="2:25" ht="16.5" thickTop="1" x14ac:dyDescent="0.25">
      <c r="B151" s="463"/>
      <c r="C151" s="350"/>
      <c r="D151" s="458" t="s">
        <v>1844</v>
      </c>
      <c r="E151" s="350"/>
      <c r="F151" s="350"/>
      <c r="G151" s="350"/>
      <c r="H151" s="350"/>
      <c r="I151" s="350"/>
      <c r="J151" s="350"/>
      <c r="K151" s="350"/>
      <c r="L151" s="350"/>
      <c r="M151" s="350"/>
      <c r="N151" s="350"/>
      <c r="O151" s="350"/>
      <c r="P151" s="465"/>
      <c r="S151" s="797" t="s">
        <v>33</v>
      </c>
      <c r="T151" s="805" t="s">
        <v>1873</v>
      </c>
      <c r="V151" s="797" t="s">
        <v>32</v>
      </c>
      <c r="W151" s="803" t="s">
        <v>1872</v>
      </c>
      <c r="X151" s="804" t="s">
        <v>31</v>
      </c>
      <c r="Y151" s="806" t="s">
        <v>1779</v>
      </c>
    </row>
    <row r="152" spans="2:25" ht="16.5" thickBot="1" x14ac:dyDescent="0.3">
      <c r="B152" s="463"/>
      <c r="C152" s="350"/>
      <c r="D152" s="350"/>
      <c r="E152" s="350"/>
      <c r="F152" s="350"/>
      <c r="G152" s="350"/>
      <c r="H152" s="350"/>
      <c r="I152" s="350"/>
      <c r="J152" s="350"/>
      <c r="K152" s="350"/>
      <c r="L152" s="350"/>
      <c r="M152" s="350"/>
      <c r="N152" s="350"/>
      <c r="O152" s="350"/>
      <c r="P152" s="465"/>
      <c r="S152" s="1169">
        <f>I145/2</f>
        <v>152.5</v>
      </c>
      <c r="T152" s="1171">
        <f>T150</f>
        <v>16.54074139846421</v>
      </c>
      <c r="U152" s="795"/>
      <c r="V152" s="800">
        <f>S152/SIN(T152*PI()/180)</f>
        <v>535.65709031790061</v>
      </c>
      <c r="W152" s="801">
        <v>90</v>
      </c>
      <c r="X152" s="802">
        <f>S152/TAN(T152*PI()/180)</f>
        <v>513.49028073356897</v>
      </c>
      <c r="Y152" s="812">
        <f>90-T152</f>
        <v>73.459258601535794</v>
      </c>
    </row>
    <row r="153" spans="2:25" ht="16.5" thickTop="1" x14ac:dyDescent="0.25">
      <c r="B153" s="463"/>
      <c r="C153" s="350"/>
      <c r="D153" s="350"/>
      <c r="E153" s="350"/>
      <c r="F153" s="350"/>
      <c r="G153" s="350"/>
      <c r="H153" s="350"/>
      <c r="I153" s="350"/>
      <c r="J153" s="350"/>
      <c r="K153" s="350"/>
      <c r="L153" s="350"/>
      <c r="M153" s="350"/>
      <c r="N153" s="350"/>
      <c r="O153" s="350"/>
      <c r="P153" s="465"/>
      <c r="S153" s="797" t="s">
        <v>33</v>
      </c>
      <c r="T153" s="805" t="s">
        <v>1873</v>
      </c>
      <c r="V153" s="797" t="s">
        <v>32</v>
      </c>
      <c r="W153" s="803" t="s">
        <v>1872</v>
      </c>
      <c r="X153" s="804" t="s">
        <v>31</v>
      </c>
      <c r="Y153" s="806" t="s">
        <v>1779</v>
      </c>
    </row>
    <row r="154" spans="2:25" ht="16.5" thickBot="1" x14ac:dyDescent="0.3">
      <c r="B154" s="463"/>
      <c r="C154" s="350"/>
      <c r="D154" s="350"/>
      <c r="E154" s="350"/>
      <c r="F154" s="350"/>
      <c r="G154" s="350"/>
      <c r="H154" s="350"/>
      <c r="I154" s="350"/>
      <c r="J154" s="350"/>
      <c r="K154" s="350"/>
      <c r="L154" s="350"/>
      <c r="M154" s="350"/>
      <c r="N154" s="350"/>
      <c r="O154" s="350"/>
      <c r="P154" s="465"/>
      <c r="S154" s="1169">
        <f>N146+M160-C134</f>
        <v>857</v>
      </c>
      <c r="T154" s="1171">
        <f>H142</f>
        <v>16.54074139846421</v>
      </c>
      <c r="U154" s="795"/>
      <c r="V154" s="800">
        <f>S154/SIN(T154*PI()/180)</f>
        <v>3010.2172223110874</v>
      </c>
      <c r="W154" s="801">
        <v>90</v>
      </c>
      <c r="X154" s="802">
        <f>S154/TAN(T154*PI()/180)</f>
        <v>2885.6470202535647</v>
      </c>
      <c r="Y154" s="812">
        <f>90-T154</f>
        <v>73.459258601535794</v>
      </c>
    </row>
    <row r="155" spans="2:25" ht="13.5" thickTop="1" x14ac:dyDescent="0.2">
      <c r="B155" s="463"/>
      <c r="C155" s="350"/>
      <c r="D155" s="350"/>
      <c r="E155" s="350"/>
      <c r="F155" s="350"/>
      <c r="G155" s="350"/>
      <c r="H155" s="350"/>
      <c r="I155" s="350"/>
      <c r="J155" s="350"/>
      <c r="K155" s="350"/>
      <c r="L155" s="350"/>
      <c r="M155" s="350"/>
      <c r="N155" s="350"/>
      <c r="O155" s="350"/>
      <c r="P155" s="465"/>
    </row>
    <row r="156" spans="2:25" x14ac:dyDescent="0.2">
      <c r="B156" s="463"/>
      <c r="C156" s="350"/>
      <c r="D156" s="350"/>
      <c r="E156" s="350"/>
      <c r="F156" s="350"/>
      <c r="G156" s="350"/>
      <c r="H156" s="350"/>
      <c r="I156" s="350"/>
      <c r="J156" s="350"/>
      <c r="K156" s="350"/>
      <c r="L156" s="350"/>
      <c r="M156" s="350"/>
      <c r="N156" s="350"/>
      <c r="O156" s="350"/>
      <c r="P156" s="465"/>
    </row>
    <row r="157" spans="2:25" x14ac:dyDescent="0.2">
      <c r="B157" s="463"/>
      <c r="C157" s="350"/>
      <c r="D157" s="350"/>
      <c r="E157" s="350"/>
      <c r="F157" s="350"/>
      <c r="G157" s="350"/>
      <c r="H157" s="350"/>
      <c r="I157" s="350"/>
      <c r="J157" s="350"/>
      <c r="K157" s="350"/>
      <c r="L157" s="350"/>
      <c r="M157" s="350"/>
      <c r="N157" s="350"/>
      <c r="O157" s="350"/>
      <c r="P157" s="465"/>
    </row>
    <row r="158" spans="2:25" x14ac:dyDescent="0.2">
      <c r="B158" s="463"/>
      <c r="C158" s="350"/>
      <c r="D158" s="350"/>
      <c r="E158" s="350"/>
      <c r="F158" s="350"/>
      <c r="G158" s="350"/>
      <c r="H158" s="350"/>
      <c r="I158" s="350"/>
      <c r="J158" s="350"/>
      <c r="K158" s="350"/>
      <c r="L158" s="350"/>
      <c r="M158" s="350"/>
      <c r="N158" s="350"/>
      <c r="O158" s="350"/>
      <c r="P158" s="465"/>
    </row>
    <row r="159" spans="2:25" ht="13.5" thickBot="1" x14ac:dyDescent="0.25">
      <c r="B159" s="463"/>
      <c r="C159" s="350"/>
      <c r="D159" s="350"/>
      <c r="E159" s="350"/>
      <c r="F159" s="350"/>
      <c r="G159" s="350"/>
      <c r="H159" s="350"/>
      <c r="I159" s="350"/>
      <c r="J159" s="350"/>
      <c r="K159" s="350"/>
      <c r="L159" s="350"/>
      <c r="M159" s="464" t="s">
        <v>98</v>
      </c>
      <c r="N159" s="350"/>
      <c r="O159" s="350"/>
      <c r="P159" s="465"/>
    </row>
    <row r="160" spans="2:25" ht="16.5" thickBot="1" x14ac:dyDescent="0.3">
      <c r="B160" s="463"/>
      <c r="C160" s="350"/>
      <c r="D160" s="350"/>
      <c r="E160" s="464" t="s">
        <v>98</v>
      </c>
      <c r="F160" s="350"/>
      <c r="G160" s="350"/>
      <c r="H160" s="350"/>
      <c r="I160" s="350"/>
      <c r="J160" s="350"/>
      <c r="K160" s="350"/>
      <c r="L160" s="350"/>
      <c r="M160" s="1167">
        <f>E161/2</f>
        <v>130</v>
      </c>
      <c r="N160" s="350"/>
      <c r="O160" s="350"/>
      <c r="P160" s="465"/>
    </row>
    <row r="161" spans="2:21" ht="16.5" thickBot="1" x14ac:dyDescent="0.3">
      <c r="B161" s="463"/>
      <c r="C161" s="350"/>
      <c r="D161" s="350"/>
      <c r="E161" s="1166">
        <v>260</v>
      </c>
      <c r="F161" s="350"/>
      <c r="G161" s="350"/>
      <c r="H161" s="350"/>
      <c r="I161" s="350"/>
      <c r="J161" s="350"/>
      <c r="K161" s="350"/>
      <c r="L161" s="464" t="s">
        <v>98</v>
      </c>
      <c r="M161" s="350"/>
      <c r="N161" s="350"/>
      <c r="O161" s="350"/>
      <c r="P161" s="465"/>
    </row>
    <row r="162" spans="2:21" ht="16.5" thickBot="1" x14ac:dyDescent="0.3">
      <c r="B162" s="463"/>
      <c r="C162" s="350"/>
      <c r="D162" s="350"/>
      <c r="E162" s="458" t="s">
        <v>1844</v>
      </c>
      <c r="F162" s="350"/>
      <c r="G162" s="350"/>
      <c r="H162" s="350"/>
      <c r="I162" s="350"/>
      <c r="J162" s="350"/>
      <c r="K162" s="350"/>
      <c r="L162" s="1167">
        <f>H132-G134-X154</f>
        <v>297.92767067616978</v>
      </c>
      <c r="M162" s="350"/>
      <c r="N162" s="350"/>
      <c r="O162" s="350"/>
      <c r="P162" s="465"/>
    </row>
    <row r="163" spans="2:21" x14ac:dyDescent="0.2">
      <c r="B163" s="463"/>
      <c r="C163" s="350"/>
      <c r="D163" s="350"/>
      <c r="E163" s="350"/>
      <c r="F163" s="350"/>
      <c r="G163" s="350"/>
      <c r="H163" s="350"/>
      <c r="I163" s="350"/>
      <c r="J163" s="350"/>
      <c r="K163" s="350"/>
      <c r="L163" s="350"/>
      <c r="M163" s="350"/>
      <c r="N163" s="350"/>
      <c r="O163" s="350"/>
      <c r="P163" s="465"/>
    </row>
    <row r="164" spans="2:21" ht="13.5" thickBot="1" x14ac:dyDescent="0.25">
      <c r="B164" s="466"/>
      <c r="C164" s="467"/>
      <c r="D164" s="467"/>
      <c r="E164" s="467"/>
      <c r="F164" s="467"/>
      <c r="G164" s="467"/>
      <c r="H164" s="467"/>
      <c r="I164" s="467"/>
      <c r="J164" s="467"/>
      <c r="K164" s="467"/>
      <c r="L164" s="467"/>
      <c r="M164" s="467"/>
      <c r="N164" s="467"/>
      <c r="O164" s="467"/>
      <c r="P164" s="468"/>
    </row>
    <row r="165" spans="2:21" ht="20.25" x14ac:dyDescent="0.3">
      <c r="B165" s="1172"/>
      <c r="C165" s="1173"/>
      <c r="D165" s="478" t="s">
        <v>722</v>
      </c>
      <c r="E165" s="1173"/>
      <c r="F165" s="1173"/>
      <c r="G165" s="1173"/>
      <c r="H165" s="1173"/>
      <c r="I165" s="1173"/>
      <c r="J165" s="1173"/>
      <c r="K165" s="1173"/>
      <c r="L165" s="1173"/>
      <c r="M165" s="1173"/>
      <c r="N165" s="1173"/>
      <c r="O165" s="1173"/>
      <c r="P165" s="1174"/>
      <c r="Q165" s="166"/>
      <c r="R165" s="166"/>
      <c r="S165" s="166"/>
      <c r="T165" s="166"/>
      <c r="U165" s="166"/>
    </row>
    <row r="166" spans="2:21" x14ac:dyDescent="0.2">
      <c r="B166" s="463"/>
      <c r="C166" s="350"/>
      <c r="D166" s="350"/>
      <c r="E166" s="350"/>
      <c r="F166" s="350"/>
      <c r="G166" s="350"/>
      <c r="H166" s="350"/>
      <c r="I166" s="350"/>
      <c r="J166" s="350"/>
      <c r="K166" s="350"/>
      <c r="L166" s="350"/>
      <c r="M166" s="350"/>
      <c r="N166" s="350"/>
      <c r="O166" s="350"/>
      <c r="P166" s="465"/>
    </row>
    <row r="167" spans="2:21" ht="13.5" thickBot="1" x14ac:dyDescent="0.25">
      <c r="B167" s="463"/>
      <c r="C167" s="350"/>
      <c r="D167" s="350"/>
      <c r="E167" s="350"/>
      <c r="F167" s="350"/>
      <c r="G167" s="350"/>
      <c r="H167" s="989" t="s">
        <v>721</v>
      </c>
      <c r="I167" s="350"/>
      <c r="J167" s="350"/>
      <c r="K167" s="350"/>
      <c r="L167" s="350"/>
      <c r="M167" s="350"/>
      <c r="N167" s="350"/>
      <c r="O167" s="350"/>
      <c r="P167" s="465"/>
    </row>
    <row r="168" spans="2:21" ht="16.5" thickBot="1" x14ac:dyDescent="0.3">
      <c r="B168" s="463"/>
      <c r="C168" s="350"/>
      <c r="D168" s="350"/>
      <c r="E168" s="350"/>
      <c r="F168" s="350"/>
      <c r="G168" s="350"/>
      <c r="H168" s="847">
        <v>10</v>
      </c>
      <c r="I168" s="350"/>
      <c r="J168" s="350"/>
      <c r="K168" s="350"/>
      <c r="L168" s="350"/>
      <c r="M168" s="350"/>
      <c r="N168" s="350"/>
      <c r="O168" s="350"/>
      <c r="P168" s="465"/>
    </row>
    <row r="169" spans="2:21" ht="16.5" thickBot="1" x14ac:dyDescent="0.3">
      <c r="B169" s="463"/>
      <c r="C169" s="464" t="s">
        <v>1802</v>
      </c>
      <c r="D169" s="350"/>
      <c r="E169" s="350"/>
      <c r="F169" s="350"/>
      <c r="G169" s="464" t="s">
        <v>1802</v>
      </c>
      <c r="H169" s="458" t="s">
        <v>1844</v>
      </c>
      <c r="I169" s="350"/>
      <c r="J169" s="350"/>
      <c r="K169" s="350"/>
      <c r="L169" s="350"/>
      <c r="M169" s="350"/>
      <c r="N169" s="350"/>
      <c r="O169" s="350"/>
      <c r="P169" s="465"/>
    </row>
    <row r="170" spans="2:21" ht="16.5" thickBot="1" x14ac:dyDescent="0.3">
      <c r="B170" s="463"/>
      <c r="C170" s="1225">
        <f>C175/2</f>
        <v>4.1875</v>
      </c>
      <c r="D170" s="350"/>
      <c r="E170" s="350"/>
      <c r="F170" s="350"/>
      <c r="G170" s="1225">
        <f>((D186/2)+2+V188)-X186</f>
        <v>12.382492190905031</v>
      </c>
      <c r="H170" s="350"/>
      <c r="I170" s="350"/>
      <c r="J170" s="350"/>
      <c r="K170" s="350"/>
      <c r="L170" s="350"/>
      <c r="M170" s="350"/>
      <c r="N170" s="350"/>
      <c r="O170" s="350"/>
      <c r="P170" s="465"/>
    </row>
    <row r="171" spans="2:21" ht="13.5" thickBot="1" x14ac:dyDescent="0.25">
      <c r="B171" s="463"/>
      <c r="C171" s="350"/>
      <c r="D171" s="350"/>
      <c r="E171" s="350"/>
      <c r="F171" s="350"/>
      <c r="G171" s="350"/>
      <c r="H171" s="350"/>
      <c r="I171" s="350"/>
      <c r="J171" s="350"/>
      <c r="K171" s="350"/>
      <c r="L171" s="350"/>
      <c r="M171" s="350"/>
      <c r="N171" s="350"/>
      <c r="O171" s="350"/>
      <c r="P171" s="465"/>
    </row>
    <row r="172" spans="2:21" ht="15.75" x14ac:dyDescent="0.25">
      <c r="B172" s="463"/>
      <c r="C172" s="350"/>
      <c r="D172" s="350"/>
      <c r="E172" s="350"/>
      <c r="F172" s="350"/>
      <c r="G172" s="350"/>
      <c r="H172" s="350"/>
      <c r="I172" s="350"/>
      <c r="J172" s="350"/>
      <c r="K172" s="350"/>
      <c r="L172" s="350"/>
      <c r="M172" s="350"/>
      <c r="N172" s="482" t="s">
        <v>1855</v>
      </c>
      <c r="O172" s="483"/>
      <c r="P172" s="465"/>
    </row>
    <row r="173" spans="2:21" ht="13.5" thickBot="1" x14ac:dyDescent="0.25">
      <c r="B173" s="463"/>
      <c r="C173" s="350"/>
      <c r="D173" s="350"/>
      <c r="E173" s="350"/>
      <c r="F173" s="350"/>
      <c r="G173" s="350"/>
      <c r="H173" s="350"/>
      <c r="I173" s="350"/>
      <c r="J173" s="350"/>
      <c r="K173" s="350"/>
      <c r="L173" s="350"/>
      <c r="M173" s="350"/>
      <c r="N173" s="212" t="s">
        <v>1832</v>
      </c>
      <c r="O173" s="484" t="s">
        <v>1837</v>
      </c>
      <c r="P173" s="465"/>
      <c r="R173" s="1091">
        <f>(H168*12)-((D186/2+2)+(L178/2+2))</f>
        <v>104.625</v>
      </c>
      <c r="S173">
        <f>R173*R173</f>
        <v>10946.390625</v>
      </c>
    </row>
    <row r="174" spans="2:21" ht="16.5" thickBot="1" x14ac:dyDescent="0.3">
      <c r="B174" s="463"/>
      <c r="C174" s="989" t="s">
        <v>1802</v>
      </c>
      <c r="D174" s="350"/>
      <c r="E174" s="350"/>
      <c r="F174" s="350"/>
      <c r="G174" s="350"/>
      <c r="H174" s="350"/>
      <c r="I174" s="350"/>
      <c r="J174" s="350"/>
      <c r="K174" s="350"/>
      <c r="L174" s="350"/>
      <c r="M174" s="350"/>
      <c r="N174" s="485">
        <f>G186</f>
        <v>9.2693233789083962</v>
      </c>
      <c r="O174" s="486">
        <f>(N174*12*25.4)/1000</f>
        <v>2.825289765891279</v>
      </c>
      <c r="P174" s="465"/>
      <c r="R174" s="457">
        <f>(N182*12)-C175</f>
        <v>39.625</v>
      </c>
      <c r="S174">
        <f>R174*R174</f>
        <v>1570.140625</v>
      </c>
    </row>
    <row r="175" spans="2:21" ht="16.5" thickBot="1" x14ac:dyDescent="0.3">
      <c r="B175" s="463"/>
      <c r="C175" s="846">
        <v>8.375</v>
      </c>
      <c r="D175" s="350"/>
      <c r="E175" s="350"/>
      <c r="F175" s="350"/>
      <c r="G175" s="350"/>
      <c r="H175" s="350"/>
      <c r="I175" s="350"/>
      <c r="J175" s="350"/>
      <c r="K175" s="350"/>
      <c r="L175" s="350"/>
      <c r="M175" s="350"/>
      <c r="N175" s="350"/>
      <c r="O175" s="350"/>
      <c r="P175" s="465"/>
      <c r="S175">
        <f>SUM(S173:S174)</f>
        <v>12516.53125</v>
      </c>
    </row>
    <row r="176" spans="2:21" ht="15.75" x14ac:dyDescent="0.25">
      <c r="B176" s="463"/>
      <c r="C176" s="458" t="s">
        <v>1844</v>
      </c>
      <c r="D176" s="350"/>
      <c r="E176" s="350"/>
      <c r="F176" s="350"/>
      <c r="G176" s="350"/>
      <c r="H176" s="350"/>
      <c r="I176" s="464"/>
      <c r="J176" s="350"/>
      <c r="K176" s="350"/>
      <c r="L176" s="350"/>
      <c r="M176" s="350"/>
      <c r="N176" s="350"/>
      <c r="O176" s="350"/>
      <c r="P176" s="465"/>
      <c r="S176" s="457">
        <f>I181</f>
        <v>12</v>
      </c>
    </row>
    <row r="177" spans="2:25" ht="13.5" thickBot="1" x14ac:dyDescent="0.25">
      <c r="B177" s="463"/>
      <c r="C177" s="350"/>
      <c r="D177" s="350"/>
      <c r="E177" s="350"/>
      <c r="F177" s="350"/>
      <c r="G177" s="350"/>
      <c r="H177" s="464"/>
      <c r="I177" s="350"/>
      <c r="J177" s="350"/>
      <c r="K177" s="350"/>
      <c r="L177" s="989" t="s">
        <v>1802</v>
      </c>
      <c r="M177" s="350"/>
      <c r="N177" s="350"/>
      <c r="O177" s="350"/>
      <c r="P177" s="465"/>
      <c r="S177">
        <f>S176*S176</f>
        <v>144</v>
      </c>
    </row>
    <row r="178" spans="2:25" ht="16.5" thickBot="1" x14ac:dyDescent="0.3">
      <c r="B178" s="463"/>
      <c r="C178" s="350"/>
      <c r="D178" s="350"/>
      <c r="E178" s="350"/>
      <c r="F178" s="350"/>
      <c r="G178" s="350"/>
      <c r="H178" s="1168">
        <f>X182+Y184</f>
        <v>26.900770411367812</v>
      </c>
      <c r="I178" s="458"/>
      <c r="J178" s="350"/>
      <c r="K178" s="350"/>
      <c r="L178" s="846">
        <v>12</v>
      </c>
      <c r="M178" s="350"/>
      <c r="N178" s="350"/>
      <c r="O178" s="350"/>
      <c r="P178" s="465"/>
      <c r="S178">
        <f>S175-S177</f>
        <v>12372.53125</v>
      </c>
    </row>
    <row r="179" spans="2:25" ht="15.75" x14ac:dyDescent="0.25">
      <c r="B179" s="463"/>
      <c r="C179" s="350"/>
      <c r="D179" s="350"/>
      <c r="E179" s="350"/>
      <c r="F179" s="350"/>
      <c r="G179" s="350"/>
      <c r="H179" s="910"/>
      <c r="I179" s="350"/>
      <c r="J179" s="350"/>
      <c r="K179" s="350"/>
      <c r="L179" s="458" t="s">
        <v>1844</v>
      </c>
      <c r="M179" s="350"/>
      <c r="N179" s="350"/>
      <c r="O179" s="350"/>
      <c r="P179" s="465"/>
      <c r="S179" s="457">
        <f>SQRT(S178)/12</f>
        <v>9.2693233789083962</v>
      </c>
    </row>
    <row r="180" spans="2:25" ht="13.5" thickBot="1" x14ac:dyDescent="0.25">
      <c r="B180" s="463"/>
      <c r="C180" s="350"/>
      <c r="D180" s="350"/>
      <c r="E180" s="350"/>
      <c r="F180" s="350"/>
      <c r="G180" s="350"/>
      <c r="H180" s="350"/>
      <c r="I180" s="989" t="s">
        <v>1802</v>
      </c>
      <c r="J180" s="350"/>
      <c r="K180" s="350"/>
      <c r="L180" s="350"/>
      <c r="M180" s="350"/>
      <c r="N180" s="350"/>
      <c r="O180" s="350"/>
      <c r="P180" s="465"/>
    </row>
    <row r="181" spans="2:25" ht="17.25" thickTop="1" thickBot="1" x14ac:dyDescent="0.3">
      <c r="B181" s="463"/>
      <c r="C181" s="350"/>
      <c r="D181" s="350"/>
      <c r="E181" s="350"/>
      <c r="F181" s="350"/>
      <c r="G181" s="350"/>
      <c r="H181" s="350"/>
      <c r="I181" s="846">
        <v>12</v>
      </c>
      <c r="J181" s="350"/>
      <c r="K181" s="350"/>
      <c r="L181" s="350"/>
      <c r="M181" s="350"/>
      <c r="N181" s="989" t="s">
        <v>721</v>
      </c>
      <c r="O181" s="350"/>
      <c r="P181" s="465"/>
      <c r="S181" s="797" t="s">
        <v>33</v>
      </c>
      <c r="T181" s="798" t="s">
        <v>31</v>
      </c>
      <c r="V181" s="797" t="s">
        <v>32</v>
      </c>
      <c r="W181" s="803" t="s">
        <v>1872</v>
      </c>
      <c r="X181" s="803" t="s">
        <v>1873</v>
      </c>
      <c r="Y181" s="805" t="s">
        <v>1779</v>
      </c>
    </row>
    <row r="182" spans="2:25" ht="16.5" thickBot="1" x14ac:dyDescent="0.3">
      <c r="B182" s="463"/>
      <c r="C182" s="350"/>
      <c r="D182" s="350"/>
      <c r="E182" s="350"/>
      <c r="F182" s="350"/>
      <c r="G182" s="350"/>
      <c r="H182" s="350"/>
      <c r="I182" s="458" t="s">
        <v>1844</v>
      </c>
      <c r="J182" s="350"/>
      <c r="K182" s="350"/>
      <c r="L182" s="350"/>
      <c r="M182" s="350"/>
      <c r="N182" s="847">
        <v>4</v>
      </c>
      <c r="O182" s="350"/>
      <c r="P182" s="465"/>
      <c r="S182" s="1219">
        <f>(N182*12)-C175</f>
        <v>39.625</v>
      </c>
      <c r="T182" s="1170">
        <f>R173</f>
        <v>104.625</v>
      </c>
      <c r="U182" s="795"/>
      <c r="V182" s="800">
        <f>SQRT(SUMSQ(S182)+SUMSQ(T182))</f>
        <v>111.87730444553981</v>
      </c>
      <c r="W182" s="801">
        <v>90</v>
      </c>
      <c r="X182" s="811">
        <f>ATAN(S182/T182)*180/PI()</f>
        <v>20.743359118458752</v>
      </c>
      <c r="Y182" s="812">
        <f>ATAN(T182/S182)*180/PI()</f>
        <v>69.256640881541244</v>
      </c>
    </row>
    <row r="183" spans="2:25" ht="16.5" thickTop="1" x14ac:dyDescent="0.25">
      <c r="B183" s="463"/>
      <c r="C183" s="350"/>
      <c r="D183" s="350"/>
      <c r="E183" s="350"/>
      <c r="F183" s="350"/>
      <c r="G183" s="350"/>
      <c r="H183" s="350"/>
      <c r="I183" s="350"/>
      <c r="J183" s="350"/>
      <c r="K183" s="350"/>
      <c r="L183" s="350"/>
      <c r="M183" s="350"/>
      <c r="N183" s="458" t="s">
        <v>1844</v>
      </c>
      <c r="O183" s="458"/>
      <c r="P183" s="465"/>
      <c r="S183" s="797" t="s">
        <v>33</v>
      </c>
      <c r="T183" s="798" t="s">
        <v>31</v>
      </c>
      <c r="V183" s="797" t="s">
        <v>32</v>
      </c>
      <c r="W183" s="803" t="s">
        <v>1872</v>
      </c>
      <c r="X183" s="803" t="s">
        <v>1873</v>
      </c>
      <c r="Y183" s="805" t="s">
        <v>1779</v>
      </c>
    </row>
    <row r="184" spans="2:25" ht="16.5" thickBot="1" x14ac:dyDescent="0.3">
      <c r="B184" s="463"/>
      <c r="C184" s="350"/>
      <c r="D184" s="350"/>
      <c r="E184" s="350"/>
      <c r="F184" s="350"/>
      <c r="G184" s="350"/>
      <c r="H184" s="350"/>
      <c r="I184" s="350"/>
      <c r="J184" s="350"/>
      <c r="K184" s="350"/>
      <c r="L184" s="350"/>
      <c r="M184" s="350"/>
      <c r="N184" s="350"/>
      <c r="O184" s="350"/>
      <c r="P184" s="465"/>
      <c r="S184" s="1219">
        <f>S179*12</f>
        <v>111.23188054690075</v>
      </c>
      <c r="T184" s="1218">
        <f>I181</f>
        <v>12</v>
      </c>
      <c r="U184" s="795"/>
      <c r="V184" s="800">
        <f>SQRT(SUMSQ(S184)+SUMSQ(T184))</f>
        <v>111.87730444553979</v>
      </c>
      <c r="W184" s="801">
        <v>90</v>
      </c>
      <c r="X184" s="811">
        <f>ATAN(S184/T184)*180/PI()</f>
        <v>83.842588707090954</v>
      </c>
      <c r="Y184" s="812">
        <f>ATAN(T184/S184)*180/PI()</f>
        <v>6.1574112929090594</v>
      </c>
    </row>
    <row r="185" spans="2:25" ht="17.25" thickTop="1" thickBot="1" x14ac:dyDescent="0.3">
      <c r="B185" s="463"/>
      <c r="C185" s="350"/>
      <c r="D185" s="989" t="s">
        <v>1802</v>
      </c>
      <c r="E185" s="350"/>
      <c r="F185" s="350"/>
      <c r="G185" s="989" t="s">
        <v>721</v>
      </c>
      <c r="H185" s="350"/>
      <c r="I185" s="350"/>
      <c r="J185" s="350"/>
      <c r="K185" s="350"/>
      <c r="L185" s="350"/>
      <c r="M185" s="350"/>
      <c r="N185" s="350"/>
      <c r="O185" s="350"/>
      <c r="P185" s="465"/>
      <c r="S185" s="797" t="s">
        <v>33</v>
      </c>
      <c r="T185" s="805" t="s">
        <v>1873</v>
      </c>
      <c r="V185" s="797" t="s">
        <v>32</v>
      </c>
      <c r="W185" s="803" t="s">
        <v>1872</v>
      </c>
      <c r="X185" s="804" t="s">
        <v>31</v>
      </c>
      <c r="Y185" s="806" t="s">
        <v>1779</v>
      </c>
    </row>
    <row r="186" spans="2:25" ht="16.5" thickBot="1" x14ac:dyDescent="0.3">
      <c r="B186" s="463"/>
      <c r="C186" s="350"/>
      <c r="D186" s="846">
        <v>10.75</v>
      </c>
      <c r="E186" s="350"/>
      <c r="F186" s="350"/>
      <c r="G186" s="1225">
        <f>S179</f>
        <v>9.2693233789083962</v>
      </c>
      <c r="H186" s="350"/>
      <c r="I186" s="350"/>
      <c r="J186" s="350"/>
      <c r="K186" s="350"/>
      <c r="L186" s="350"/>
      <c r="M186" s="350"/>
      <c r="N186" s="350"/>
      <c r="O186" s="350"/>
      <c r="P186" s="465"/>
      <c r="S186" s="1219">
        <f>C170</f>
        <v>4.1875</v>
      </c>
      <c r="T186" s="1171">
        <f>H178</f>
        <v>26.900770411367812</v>
      </c>
      <c r="U186" s="795"/>
      <c r="V186" s="800">
        <f>S186/SIN(T186*PI()/180)</f>
        <v>9.2552338092076809</v>
      </c>
      <c r="W186" s="801">
        <v>90</v>
      </c>
      <c r="X186" s="802">
        <f>S186/TAN(T186*PI()/180)</f>
        <v>8.253738341691049</v>
      </c>
      <c r="Y186" s="812">
        <f>90-T186</f>
        <v>63.099229588632184</v>
      </c>
    </row>
    <row r="187" spans="2:25" ht="16.5" thickTop="1" x14ac:dyDescent="0.25">
      <c r="B187" s="463"/>
      <c r="C187" s="350"/>
      <c r="D187" s="458" t="s">
        <v>1844</v>
      </c>
      <c r="E187" s="350"/>
      <c r="F187" s="350"/>
      <c r="G187" s="350"/>
      <c r="H187" s="350"/>
      <c r="I187" s="350"/>
      <c r="J187" s="350"/>
      <c r="K187" s="350"/>
      <c r="L187" s="350"/>
      <c r="M187" s="350"/>
      <c r="N187" s="350"/>
      <c r="O187" s="350"/>
      <c r="P187" s="465"/>
      <c r="S187" s="797" t="s">
        <v>33</v>
      </c>
      <c r="T187" s="805" t="s">
        <v>1873</v>
      </c>
      <c r="V187" s="797" t="s">
        <v>32</v>
      </c>
      <c r="W187" s="803" t="s">
        <v>1872</v>
      </c>
      <c r="X187" s="804" t="s">
        <v>31</v>
      </c>
      <c r="Y187" s="806" t="s">
        <v>1779</v>
      </c>
    </row>
    <row r="188" spans="2:25" ht="16.5" thickBot="1" x14ac:dyDescent="0.3">
      <c r="B188" s="463"/>
      <c r="C188" s="350"/>
      <c r="D188" s="350"/>
      <c r="E188" s="350"/>
      <c r="F188" s="350"/>
      <c r="G188" s="350"/>
      <c r="H188" s="350"/>
      <c r="I188" s="350"/>
      <c r="J188" s="350"/>
      <c r="K188" s="350"/>
      <c r="L188" s="350"/>
      <c r="M188" s="350"/>
      <c r="N188" s="350"/>
      <c r="O188" s="350"/>
      <c r="P188" s="465"/>
      <c r="S188" s="1219">
        <f>I181/2</f>
        <v>6</v>
      </c>
      <c r="T188" s="1171">
        <f>T186</f>
        <v>26.900770411367812</v>
      </c>
      <c r="U188" s="795"/>
      <c r="V188" s="800">
        <f>S188/SIN(T188*PI()/180)</f>
        <v>13.261230532596079</v>
      </c>
      <c r="W188" s="801">
        <v>90</v>
      </c>
      <c r="X188" s="802">
        <f>S188/TAN(T188*PI()/180)</f>
        <v>11.826251952273742</v>
      </c>
      <c r="Y188" s="812">
        <f>90-T188</f>
        <v>63.099229588632184</v>
      </c>
    </row>
    <row r="189" spans="2:25" ht="16.5" thickTop="1" x14ac:dyDescent="0.25">
      <c r="B189" s="463"/>
      <c r="C189" s="350"/>
      <c r="D189" s="350"/>
      <c r="E189" s="350"/>
      <c r="F189" s="350"/>
      <c r="G189" s="350"/>
      <c r="H189" s="350"/>
      <c r="I189" s="350"/>
      <c r="J189" s="350"/>
      <c r="K189" s="350"/>
      <c r="L189" s="350"/>
      <c r="M189" s="350"/>
      <c r="N189" s="350"/>
      <c r="O189" s="350"/>
      <c r="P189" s="465"/>
      <c r="S189" s="797" t="s">
        <v>33</v>
      </c>
      <c r="T189" s="805" t="s">
        <v>1873</v>
      </c>
      <c r="V189" s="797" t="s">
        <v>32</v>
      </c>
      <c r="W189" s="803" t="s">
        <v>1872</v>
      </c>
      <c r="X189" s="804" t="s">
        <v>31</v>
      </c>
      <c r="Y189" s="806" t="s">
        <v>1779</v>
      </c>
    </row>
    <row r="190" spans="2:25" ht="16.5" thickBot="1" x14ac:dyDescent="0.3">
      <c r="B190" s="463"/>
      <c r="C190" s="350"/>
      <c r="D190" s="350"/>
      <c r="E190" s="350"/>
      <c r="F190" s="350"/>
      <c r="G190" s="350"/>
      <c r="H190" s="350"/>
      <c r="I190" s="350"/>
      <c r="J190" s="350"/>
      <c r="K190" s="350"/>
      <c r="L190" s="350"/>
      <c r="M190" s="350"/>
      <c r="N190" s="350"/>
      <c r="O190" s="350"/>
      <c r="P190" s="465"/>
      <c r="S190" s="1219">
        <f>N182*12+M196-C170</f>
        <v>47.125</v>
      </c>
      <c r="T190" s="1171">
        <f>H178</f>
        <v>26.900770411367812</v>
      </c>
      <c r="U190" s="795"/>
      <c r="V190" s="800">
        <f>S190/SIN(T190*PI()/180)</f>
        <v>104.15591480809837</v>
      </c>
      <c r="W190" s="801">
        <v>90</v>
      </c>
      <c r="X190" s="802">
        <f>S190/TAN(T190*PI()/180)</f>
        <v>92.885353875150017</v>
      </c>
      <c r="Y190" s="812">
        <f>90-T190</f>
        <v>63.099229588632184</v>
      </c>
    </row>
    <row r="191" spans="2:25" ht="13.5" thickTop="1" x14ac:dyDescent="0.2">
      <c r="B191" s="463"/>
      <c r="C191" s="350"/>
      <c r="D191" s="350"/>
      <c r="E191" s="350"/>
      <c r="F191" s="350"/>
      <c r="G191" s="350"/>
      <c r="H191" s="350"/>
      <c r="I191" s="350"/>
      <c r="J191" s="350"/>
      <c r="K191" s="350"/>
      <c r="L191" s="350"/>
      <c r="M191" s="350"/>
      <c r="N191" s="350"/>
      <c r="O191" s="350"/>
      <c r="P191" s="465"/>
    </row>
    <row r="192" spans="2:25" x14ac:dyDescent="0.2">
      <c r="B192" s="463"/>
      <c r="C192" s="350"/>
      <c r="D192" s="350"/>
      <c r="E192" s="350"/>
      <c r="F192" s="350"/>
      <c r="G192" s="350"/>
      <c r="H192" s="350"/>
      <c r="I192" s="350"/>
      <c r="J192" s="350"/>
      <c r="K192" s="350"/>
      <c r="L192" s="350"/>
      <c r="M192" s="350"/>
      <c r="N192" s="350"/>
      <c r="O192" s="350"/>
      <c r="P192" s="465"/>
    </row>
    <row r="193" spans="2:16" x14ac:dyDescent="0.2">
      <c r="B193" s="463"/>
      <c r="C193" s="350"/>
      <c r="D193" s="350"/>
      <c r="E193" s="350"/>
      <c r="F193" s="350"/>
      <c r="G193" s="350"/>
      <c r="H193" s="350"/>
      <c r="I193" s="350"/>
      <c r="J193" s="350"/>
      <c r="K193" s="350"/>
      <c r="L193" s="350"/>
      <c r="M193" s="350"/>
      <c r="N193" s="350"/>
      <c r="O193" s="350"/>
      <c r="P193" s="465"/>
    </row>
    <row r="194" spans="2:16" x14ac:dyDescent="0.2">
      <c r="B194" s="463"/>
      <c r="C194" s="350"/>
      <c r="D194" s="350"/>
      <c r="E194" s="350"/>
      <c r="F194" s="350"/>
      <c r="G194" s="350"/>
      <c r="H194" s="350"/>
      <c r="I194" s="350"/>
      <c r="J194" s="350"/>
      <c r="K194" s="350"/>
      <c r="L194" s="350"/>
      <c r="M194" s="350"/>
      <c r="N194" s="350"/>
      <c r="O194" s="350"/>
      <c r="P194" s="465"/>
    </row>
    <row r="195" spans="2:16" ht="13.5" thickBot="1" x14ac:dyDescent="0.25">
      <c r="B195" s="463"/>
      <c r="C195" s="350"/>
      <c r="D195" s="350"/>
      <c r="E195" s="350"/>
      <c r="F195" s="350"/>
      <c r="G195" s="350"/>
      <c r="H195" s="350"/>
      <c r="I195" s="350"/>
      <c r="J195" s="350"/>
      <c r="K195" s="350"/>
      <c r="L195" s="350"/>
      <c r="M195" s="464" t="s">
        <v>1802</v>
      </c>
      <c r="N195" s="350"/>
      <c r="O195" s="350"/>
      <c r="P195" s="465"/>
    </row>
    <row r="196" spans="2:16" ht="16.5" thickBot="1" x14ac:dyDescent="0.3">
      <c r="B196" s="463"/>
      <c r="C196" s="350"/>
      <c r="D196" s="350"/>
      <c r="E196" s="989" t="s">
        <v>1802</v>
      </c>
      <c r="F196" s="350"/>
      <c r="G196" s="350"/>
      <c r="H196" s="350"/>
      <c r="I196" s="350"/>
      <c r="J196" s="350"/>
      <c r="K196" s="350"/>
      <c r="L196" s="350"/>
      <c r="M196" s="1225">
        <f>E197/2</f>
        <v>3.3125</v>
      </c>
      <c r="N196" s="1224"/>
      <c r="O196" s="350"/>
      <c r="P196" s="465"/>
    </row>
    <row r="197" spans="2:16" ht="15.75" thickBot="1" x14ac:dyDescent="0.3">
      <c r="B197" s="463"/>
      <c r="C197" s="350"/>
      <c r="D197" s="350"/>
      <c r="E197" s="848">
        <v>6.625</v>
      </c>
      <c r="F197" s="350"/>
      <c r="G197" s="350"/>
      <c r="H197" s="350"/>
      <c r="I197" s="350"/>
      <c r="J197" s="350"/>
      <c r="K197" s="350"/>
      <c r="L197" s="464" t="s">
        <v>1802</v>
      </c>
      <c r="M197" s="350"/>
      <c r="N197" s="350"/>
      <c r="O197" s="350"/>
      <c r="P197" s="465"/>
    </row>
    <row r="198" spans="2:16" ht="16.5" thickBot="1" x14ac:dyDescent="0.3">
      <c r="B198" s="463"/>
      <c r="C198" s="350"/>
      <c r="D198" s="350"/>
      <c r="E198" s="458" t="s">
        <v>1844</v>
      </c>
      <c r="F198" s="350"/>
      <c r="G198" s="350"/>
      <c r="H198" s="350"/>
      <c r="I198" s="350"/>
      <c r="J198" s="350"/>
      <c r="K198" s="350"/>
      <c r="L198" s="1225">
        <f>(H168*12)-G170-X190</f>
        <v>14.732153933944957</v>
      </c>
      <c r="M198" s="350"/>
      <c r="N198" s="350"/>
      <c r="O198" s="350"/>
      <c r="P198" s="465"/>
    </row>
    <row r="199" spans="2:16" x14ac:dyDescent="0.2">
      <c r="B199" s="463"/>
      <c r="C199" s="350"/>
      <c r="D199" s="350"/>
      <c r="E199" s="350"/>
      <c r="F199" s="350"/>
      <c r="G199" s="350"/>
      <c r="H199" s="350"/>
      <c r="I199" s="350"/>
      <c r="J199" s="350"/>
      <c r="K199" s="350"/>
      <c r="L199" s="350"/>
      <c r="M199" s="350"/>
      <c r="N199" s="350"/>
      <c r="O199" s="350"/>
      <c r="P199" s="465"/>
    </row>
    <row r="200" spans="2:16" ht="13.5" thickBot="1" x14ac:dyDescent="0.25">
      <c r="B200" s="466"/>
      <c r="C200" s="467"/>
      <c r="D200" s="467"/>
      <c r="E200" s="467"/>
      <c r="F200" s="467"/>
      <c r="G200" s="467"/>
      <c r="H200" s="467"/>
      <c r="I200" s="467"/>
      <c r="J200" s="467"/>
      <c r="K200" s="467"/>
      <c r="L200" s="467"/>
      <c r="M200" s="467"/>
      <c r="N200" s="467"/>
      <c r="O200" s="467"/>
      <c r="P200" s="468"/>
    </row>
  </sheetData>
  <sheetProtection password="CDD2" sheet="1" objects="1" scenarios="1"/>
  <pageMargins left="0.75" right="0.75" top="1" bottom="1" header="0.5" footer="0.5"/>
  <pageSetup orientation="portrait" verticalDpi="0" r:id="rId1"/>
  <headerFooter alignWithMargins="0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42"/>
  <sheetViews>
    <sheetView showGridLines="0" workbookViewId="0">
      <pane ySplit="13" topLeftCell="A14" activePane="bottomLeft" state="frozen"/>
      <selection pane="bottomLeft"/>
    </sheetView>
  </sheetViews>
  <sheetFormatPr defaultRowHeight="12.75" x14ac:dyDescent="0.2"/>
  <cols>
    <col min="1" max="1" width="5" customWidth="1"/>
    <col min="3" max="3" width="10.85546875" customWidth="1"/>
    <col min="4" max="4" width="11.28515625" customWidth="1"/>
    <col min="5" max="5" width="11.7109375" customWidth="1"/>
    <col min="6" max="6" width="12.5703125" customWidth="1"/>
    <col min="7" max="7" width="10.85546875" customWidth="1"/>
    <col min="8" max="8" width="10.42578125" customWidth="1"/>
    <col min="9" max="9" width="10" customWidth="1"/>
  </cols>
  <sheetData>
    <row r="1" spans="2:13" ht="18.75" x14ac:dyDescent="0.3">
      <c r="B1" s="792" t="s">
        <v>34</v>
      </c>
      <c r="J1" s="825" t="s">
        <v>44</v>
      </c>
    </row>
    <row r="2" spans="2:13" x14ac:dyDescent="0.2">
      <c r="J2" s="827" t="s">
        <v>45</v>
      </c>
    </row>
    <row r="3" spans="2:13" ht="13.5" thickBot="1" x14ac:dyDescent="0.25">
      <c r="J3" s="398" t="s">
        <v>1832</v>
      </c>
      <c r="K3" s="398" t="s">
        <v>1802</v>
      </c>
      <c r="L3" s="28" t="s">
        <v>46</v>
      </c>
      <c r="M3" s="28" t="s">
        <v>1803</v>
      </c>
    </row>
    <row r="4" spans="2:13" ht="14.25" thickTop="1" thickBot="1" x14ac:dyDescent="0.25">
      <c r="I4" s="794" t="s">
        <v>47</v>
      </c>
      <c r="J4" s="836">
        <v>8</v>
      </c>
      <c r="K4" s="837">
        <v>9.25</v>
      </c>
      <c r="L4" s="826">
        <f>K4/12+J4</f>
        <v>8.7708333333333339</v>
      </c>
      <c r="M4" s="851">
        <f>L4*12*25.4</f>
        <v>2673.35</v>
      </c>
    </row>
    <row r="5" spans="2:13" ht="13.5" thickTop="1" x14ac:dyDescent="0.2"/>
    <row r="7" spans="2:13" ht="15" x14ac:dyDescent="0.2">
      <c r="B7" s="796" t="s">
        <v>39</v>
      </c>
    </row>
    <row r="8" spans="2:13" ht="15.75" x14ac:dyDescent="0.25">
      <c r="D8" s="791"/>
    </row>
    <row r="14" spans="2:13" ht="15" x14ac:dyDescent="0.2">
      <c r="C14" s="272" t="s">
        <v>42</v>
      </c>
    </row>
    <row r="15" spans="2:13" ht="15.75" thickBot="1" x14ac:dyDescent="0.25">
      <c r="C15" s="793" t="s">
        <v>36</v>
      </c>
      <c r="G15" s="808" t="s">
        <v>41</v>
      </c>
    </row>
    <row r="16" spans="2:13" ht="16.5" thickTop="1" x14ac:dyDescent="0.25">
      <c r="C16" s="797" t="s">
        <v>32</v>
      </c>
      <c r="D16" s="798" t="s">
        <v>33</v>
      </c>
      <c r="F16" s="797" t="s">
        <v>31</v>
      </c>
      <c r="G16" s="803" t="s">
        <v>1872</v>
      </c>
      <c r="H16" s="803" t="s">
        <v>1873</v>
      </c>
      <c r="I16" s="805" t="s">
        <v>1779</v>
      </c>
    </row>
    <row r="17" spans="2:9" ht="16.5" thickBot="1" x14ac:dyDescent="0.3">
      <c r="B17" s="794" t="s">
        <v>38</v>
      </c>
      <c r="C17" s="838">
        <v>50</v>
      </c>
      <c r="D17" s="839">
        <v>10</v>
      </c>
      <c r="E17" s="795" t="s">
        <v>37</v>
      </c>
      <c r="F17" s="800">
        <f>SQRT((SUMSQ(C17)-SUMSQ(D17)))</f>
        <v>48.989794855663561</v>
      </c>
      <c r="G17" s="801">
        <v>90</v>
      </c>
      <c r="H17" s="811">
        <f>ASIN(D17/C17)*180/PI()</f>
        <v>11.53695903281549</v>
      </c>
      <c r="I17" s="812">
        <f>ATAN(F17/D17)*180/PI()</f>
        <v>78.463040967184526</v>
      </c>
    </row>
    <row r="18" spans="2:9" ht="14.25" thickTop="1" thickBot="1" x14ac:dyDescent="0.25"/>
    <row r="19" spans="2:9" ht="16.5" thickTop="1" x14ac:dyDescent="0.25">
      <c r="C19" s="797" t="s">
        <v>32</v>
      </c>
      <c r="D19" s="798" t="s">
        <v>31</v>
      </c>
      <c r="F19" s="797" t="s">
        <v>33</v>
      </c>
      <c r="G19" s="803" t="s">
        <v>1872</v>
      </c>
      <c r="H19" s="803" t="s">
        <v>1873</v>
      </c>
      <c r="I19" s="805" t="s">
        <v>1779</v>
      </c>
    </row>
    <row r="20" spans="2:9" ht="16.5" thickBot="1" x14ac:dyDescent="0.3">
      <c r="B20" s="794" t="s">
        <v>38</v>
      </c>
      <c r="C20" s="838">
        <v>36</v>
      </c>
      <c r="D20" s="839">
        <v>15</v>
      </c>
      <c r="E20" s="795" t="s">
        <v>37</v>
      </c>
      <c r="F20" s="800">
        <f>SQRT((SUMSQ(C20)-SUMSQ(D20)))</f>
        <v>32.726136343907143</v>
      </c>
      <c r="G20" s="801">
        <v>90</v>
      </c>
      <c r="H20" s="811">
        <f>ACOS(D20/C20)*180/PI()</f>
        <v>65.375681647835918</v>
      </c>
      <c r="I20" s="812">
        <f>ASIN(D20/C20)*180/PI()</f>
        <v>24.624318352164082</v>
      </c>
    </row>
    <row r="21" spans="2:9" ht="14.25" thickTop="1" thickBot="1" x14ac:dyDescent="0.25"/>
    <row r="22" spans="2:9" ht="16.5" thickTop="1" x14ac:dyDescent="0.25">
      <c r="C22" s="797" t="s">
        <v>32</v>
      </c>
      <c r="D22" s="805" t="s">
        <v>1873</v>
      </c>
      <c r="F22" s="797" t="s">
        <v>33</v>
      </c>
      <c r="G22" s="803" t="s">
        <v>1872</v>
      </c>
      <c r="H22" s="804" t="s">
        <v>31</v>
      </c>
      <c r="I22" s="805" t="s">
        <v>1779</v>
      </c>
    </row>
    <row r="23" spans="2:9" ht="16.5" thickBot="1" x14ac:dyDescent="0.3">
      <c r="B23" s="794" t="s">
        <v>38</v>
      </c>
      <c r="C23" s="838">
        <v>0</v>
      </c>
      <c r="D23" s="840">
        <v>0</v>
      </c>
      <c r="E23" s="795" t="s">
        <v>37</v>
      </c>
      <c r="F23" s="800">
        <f>(SIN(D23*PI()/180))*C23</f>
        <v>0</v>
      </c>
      <c r="G23" s="801">
        <v>90</v>
      </c>
      <c r="H23" s="802">
        <f>C23*(COS(D23*PI()/180))</f>
        <v>0</v>
      </c>
      <c r="I23" s="812">
        <f>90-D23</f>
        <v>90</v>
      </c>
    </row>
    <row r="24" spans="2:9" ht="14.25" thickTop="1" thickBot="1" x14ac:dyDescent="0.25"/>
    <row r="25" spans="2:9" ht="16.5" thickTop="1" x14ac:dyDescent="0.25">
      <c r="C25" s="797" t="s">
        <v>32</v>
      </c>
      <c r="D25" s="805" t="s">
        <v>1779</v>
      </c>
      <c r="F25" s="797" t="s">
        <v>33</v>
      </c>
      <c r="G25" s="803" t="s">
        <v>1872</v>
      </c>
      <c r="H25" s="804" t="s">
        <v>31</v>
      </c>
      <c r="I25" s="805" t="s">
        <v>1873</v>
      </c>
    </row>
    <row r="26" spans="2:9" ht="16.5" thickBot="1" x14ac:dyDescent="0.3">
      <c r="B26" s="794" t="s">
        <v>38</v>
      </c>
      <c r="C26" s="838">
        <v>0</v>
      </c>
      <c r="D26" s="840">
        <v>0</v>
      </c>
      <c r="E26" s="795" t="s">
        <v>37</v>
      </c>
      <c r="F26" s="800">
        <f>C26*COS(D26*PI()/180)</f>
        <v>0</v>
      </c>
      <c r="G26" s="801">
        <v>90</v>
      </c>
      <c r="H26" s="802">
        <f>C26*SIN(D26*PI()/180)</f>
        <v>0</v>
      </c>
      <c r="I26" s="812">
        <f>90-D26</f>
        <v>90</v>
      </c>
    </row>
    <row r="27" spans="2:9" ht="14.25" thickTop="1" thickBot="1" x14ac:dyDescent="0.25"/>
    <row r="28" spans="2:9" ht="16.5" thickTop="1" x14ac:dyDescent="0.25">
      <c r="C28" s="797" t="s">
        <v>33</v>
      </c>
      <c r="D28" s="798" t="s">
        <v>31</v>
      </c>
      <c r="F28" s="797" t="s">
        <v>32</v>
      </c>
      <c r="G28" s="803" t="s">
        <v>1872</v>
      </c>
      <c r="H28" s="803" t="s">
        <v>1873</v>
      </c>
      <c r="I28" s="805" t="s">
        <v>1779</v>
      </c>
    </row>
    <row r="29" spans="2:9" ht="16.5" thickBot="1" x14ac:dyDescent="0.3">
      <c r="B29" s="794" t="s">
        <v>38</v>
      </c>
      <c r="C29" s="838">
        <v>350</v>
      </c>
      <c r="D29" s="839">
        <v>700</v>
      </c>
      <c r="E29" s="795" t="s">
        <v>37</v>
      </c>
      <c r="F29" s="800">
        <f>SQRT(SUMSQ(C29)+SUMSQ(D29))</f>
        <v>782.62379212492635</v>
      </c>
      <c r="G29" s="801">
        <v>90</v>
      </c>
      <c r="H29" s="811">
        <f>ATAN(C29/D29)*180/PI()</f>
        <v>26.56505117707799</v>
      </c>
      <c r="I29" s="812">
        <f>ATAN(D29/C29)*180/PI()</f>
        <v>63.43494882292201</v>
      </c>
    </row>
    <row r="30" spans="2:9" ht="14.25" thickTop="1" thickBot="1" x14ac:dyDescent="0.25"/>
    <row r="31" spans="2:9" ht="16.5" thickTop="1" x14ac:dyDescent="0.25">
      <c r="C31" s="797" t="s">
        <v>33</v>
      </c>
      <c r="D31" s="805" t="s">
        <v>1873</v>
      </c>
      <c r="F31" s="797" t="s">
        <v>32</v>
      </c>
      <c r="G31" s="803" t="s">
        <v>1872</v>
      </c>
      <c r="H31" s="804" t="s">
        <v>31</v>
      </c>
      <c r="I31" s="806" t="s">
        <v>1779</v>
      </c>
    </row>
    <row r="32" spans="2:9" ht="16.5" thickBot="1" x14ac:dyDescent="0.3">
      <c r="B32" s="794" t="s">
        <v>38</v>
      </c>
      <c r="C32" s="838">
        <v>10</v>
      </c>
      <c r="D32" s="840">
        <v>63.434899999999999</v>
      </c>
      <c r="E32" s="795" t="s">
        <v>37</v>
      </c>
      <c r="F32" s="800">
        <f>C32/SIN(D32*PI()/180)</f>
        <v>11.180344651004784</v>
      </c>
      <c r="G32" s="801">
        <v>90</v>
      </c>
      <c r="H32" s="802">
        <f>C32/TAN(D32*PI()/180)</f>
        <v>5.000010651513783</v>
      </c>
      <c r="I32" s="812">
        <f>90-D32</f>
        <v>26.565100000000001</v>
      </c>
    </row>
    <row r="33" spans="2:9" ht="14.25" thickTop="1" thickBot="1" x14ac:dyDescent="0.25"/>
    <row r="34" spans="2:9" ht="16.5" thickTop="1" x14ac:dyDescent="0.25">
      <c r="C34" s="797" t="s">
        <v>33</v>
      </c>
      <c r="D34" s="805" t="s">
        <v>1779</v>
      </c>
      <c r="F34" s="797" t="s">
        <v>32</v>
      </c>
      <c r="G34" s="803" t="s">
        <v>1872</v>
      </c>
      <c r="H34" s="804" t="s">
        <v>31</v>
      </c>
      <c r="I34" s="806" t="s">
        <v>1873</v>
      </c>
    </row>
    <row r="35" spans="2:9" ht="16.5" thickBot="1" x14ac:dyDescent="0.3">
      <c r="B35" s="794" t="s">
        <v>38</v>
      </c>
      <c r="C35" s="838">
        <v>10</v>
      </c>
      <c r="D35" s="840">
        <v>26.565100000000001</v>
      </c>
      <c r="E35" s="795" t="s">
        <v>37</v>
      </c>
      <c r="F35" s="800">
        <f>C35/COS(D35*PI()/180)</f>
        <v>11.180344651004784</v>
      </c>
      <c r="G35" s="801">
        <v>90</v>
      </c>
      <c r="H35" s="802">
        <f>C35*TAN(D35*PI()/180)</f>
        <v>5.000010651513783</v>
      </c>
      <c r="I35" s="812">
        <f>90-D35</f>
        <v>63.434899999999999</v>
      </c>
    </row>
    <row r="36" spans="2:9" ht="14.25" thickTop="1" thickBot="1" x14ac:dyDescent="0.25"/>
    <row r="37" spans="2:9" ht="16.5" thickTop="1" x14ac:dyDescent="0.25">
      <c r="C37" s="797" t="s">
        <v>31</v>
      </c>
      <c r="D37" s="805" t="s">
        <v>1779</v>
      </c>
      <c r="F37" s="797" t="s">
        <v>32</v>
      </c>
      <c r="G37" s="803" t="s">
        <v>1872</v>
      </c>
      <c r="H37" s="804" t="s">
        <v>33</v>
      </c>
      <c r="I37" s="806" t="s">
        <v>1873</v>
      </c>
    </row>
    <row r="38" spans="2:9" ht="16.5" thickBot="1" x14ac:dyDescent="0.3">
      <c r="B38" s="794" t="s">
        <v>38</v>
      </c>
      <c r="C38" s="838">
        <v>5</v>
      </c>
      <c r="D38" s="840">
        <v>26.565100000000001</v>
      </c>
      <c r="E38" s="795" t="s">
        <v>37</v>
      </c>
      <c r="F38" s="800">
        <f>C38/SIN(D38*PI()/180)</f>
        <v>11.180320833536493</v>
      </c>
      <c r="G38" s="801">
        <v>90</v>
      </c>
      <c r="H38" s="802">
        <f>C38/TAN(D38*PI()/180)</f>
        <v>9.9999786970178146</v>
      </c>
      <c r="I38" s="812">
        <f>90-D38</f>
        <v>63.434899999999999</v>
      </c>
    </row>
    <row r="39" spans="2:9" ht="14.25" thickTop="1" thickBot="1" x14ac:dyDescent="0.25"/>
    <row r="40" spans="2:9" ht="16.5" thickTop="1" x14ac:dyDescent="0.25">
      <c r="C40" s="797" t="s">
        <v>31</v>
      </c>
      <c r="D40" s="805" t="s">
        <v>1873</v>
      </c>
      <c r="F40" s="797" t="s">
        <v>32</v>
      </c>
      <c r="G40" s="803" t="s">
        <v>1872</v>
      </c>
      <c r="H40" s="804" t="s">
        <v>33</v>
      </c>
      <c r="I40" s="806" t="s">
        <v>1779</v>
      </c>
    </row>
    <row r="41" spans="2:9" ht="16.5" thickBot="1" x14ac:dyDescent="0.3">
      <c r="B41" s="794" t="s">
        <v>38</v>
      </c>
      <c r="C41" s="838">
        <v>5</v>
      </c>
      <c r="D41" s="840">
        <v>63.434899999999999</v>
      </c>
      <c r="E41" s="795" t="s">
        <v>37</v>
      </c>
      <c r="F41" s="800">
        <f>C41/COS(D41*PI()/180)</f>
        <v>11.180320833536491</v>
      </c>
      <c r="G41" s="801">
        <v>90</v>
      </c>
      <c r="H41" s="813">
        <f>C41*TAN(D41*PI()/180)</f>
        <v>9.9999786970178146</v>
      </c>
      <c r="I41" s="812">
        <f>90-D41</f>
        <v>26.565100000000001</v>
      </c>
    </row>
    <row r="42" spans="2:9" ht="13.5" thickTop="1" x14ac:dyDescent="0.2"/>
  </sheetData>
  <sheetProtection password="CDD2" sheet="1" objects="1" scenarios="1"/>
  <pageMargins left="0.75" right="0.75" top="1" bottom="1" header="0.5" footer="0.5"/>
  <pageSetup orientation="portrait" verticalDpi="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W74"/>
  <sheetViews>
    <sheetView showGridLines="0" zoomScaleNormal="100" workbookViewId="0">
      <pane ySplit="11" topLeftCell="A12" activePane="bottomLeft" state="frozen"/>
      <selection pane="bottomLeft"/>
    </sheetView>
  </sheetViews>
  <sheetFormatPr defaultRowHeight="12.75" x14ac:dyDescent="0.2"/>
  <cols>
    <col min="2" max="3" width="10.85546875" bestFit="1" customWidth="1"/>
    <col min="4" max="4" width="11" bestFit="1" customWidth="1"/>
    <col min="5" max="5" width="11.42578125" customWidth="1"/>
    <col min="6" max="6" width="13.5703125" customWidth="1"/>
    <col min="7" max="7" width="11.85546875" customWidth="1"/>
    <col min="8" max="8" width="11.7109375" customWidth="1"/>
    <col min="48" max="48" width="10.7109375" customWidth="1"/>
    <col min="49" max="49" width="12.140625" customWidth="1"/>
  </cols>
  <sheetData>
    <row r="2" spans="1:14" ht="15" x14ac:dyDescent="0.2">
      <c r="I2" s="829" t="s">
        <v>44</v>
      </c>
    </row>
    <row r="3" spans="1:14" x14ac:dyDescent="0.2">
      <c r="I3" s="827" t="s">
        <v>45</v>
      </c>
    </row>
    <row r="4" spans="1:14" ht="21" thickBot="1" x14ac:dyDescent="0.35">
      <c r="A4" s="828" t="s">
        <v>40</v>
      </c>
      <c r="I4" s="398" t="s">
        <v>1832</v>
      </c>
      <c r="J4" s="398" t="s">
        <v>1802</v>
      </c>
      <c r="K4" s="28" t="s">
        <v>46</v>
      </c>
      <c r="L4" s="28" t="s">
        <v>1803</v>
      </c>
    </row>
    <row r="5" spans="1:14" ht="16.5" thickTop="1" thickBot="1" x14ac:dyDescent="0.25">
      <c r="A5" s="796" t="s">
        <v>39</v>
      </c>
      <c r="H5" s="794" t="s">
        <v>48</v>
      </c>
      <c r="I5" s="836">
        <v>12</v>
      </c>
      <c r="J5" s="837">
        <v>10.75</v>
      </c>
      <c r="K5" s="826">
        <f>J5/12+I5</f>
        <v>12.895833333333334</v>
      </c>
      <c r="L5" s="851">
        <f>K5*12*25.4</f>
        <v>3930.6499999999996</v>
      </c>
    </row>
    <row r="6" spans="1:14" ht="13.5" thickTop="1" x14ac:dyDescent="0.2">
      <c r="I6" s="795" t="s">
        <v>49</v>
      </c>
      <c r="J6" s="795" t="s">
        <v>49</v>
      </c>
    </row>
    <row r="13" spans="1:14" ht="15" x14ac:dyDescent="0.2">
      <c r="B13" s="272" t="s">
        <v>35</v>
      </c>
    </row>
    <row r="14" spans="1:14" ht="15.75" thickBot="1" x14ac:dyDescent="0.25">
      <c r="B14" s="793" t="s">
        <v>36</v>
      </c>
      <c r="F14" s="808" t="s">
        <v>43</v>
      </c>
    </row>
    <row r="15" spans="1:14" ht="16.5" thickTop="1" x14ac:dyDescent="0.25">
      <c r="B15" s="797" t="s">
        <v>32</v>
      </c>
      <c r="C15" s="803" t="s">
        <v>1873</v>
      </c>
      <c r="D15" s="805" t="s">
        <v>1872</v>
      </c>
      <c r="E15" s="791"/>
      <c r="F15" s="809" t="s">
        <v>1779</v>
      </c>
      <c r="G15" s="804" t="s">
        <v>33</v>
      </c>
      <c r="H15" s="798" t="s">
        <v>31</v>
      </c>
      <c r="I15" s="791"/>
      <c r="J15" s="791"/>
      <c r="K15" s="791"/>
      <c r="L15" s="791"/>
      <c r="M15" s="791"/>
      <c r="N15" s="791"/>
    </row>
    <row r="16" spans="1:14" ht="16.5" thickBot="1" x14ac:dyDescent="0.3">
      <c r="A16" s="794" t="s">
        <v>38</v>
      </c>
      <c r="B16" s="841">
        <v>119.3125</v>
      </c>
      <c r="C16" s="842">
        <v>42.608800000000002</v>
      </c>
      <c r="D16" s="843">
        <v>97.748699999999999</v>
      </c>
      <c r="E16" s="795" t="s">
        <v>37</v>
      </c>
      <c r="F16" s="814">
        <f>180-C16-D16</f>
        <v>39.642499999999998</v>
      </c>
      <c r="G16" s="810">
        <f>(B16*SIN(C16*PI()/180))/SIN(D16*PI()/180)</f>
        <v>81.517592883457723</v>
      </c>
      <c r="H16" s="799">
        <f>B16*SIN(F16*PI()/180)/SIN(D16*PI()/180)</f>
        <v>76.822288311930564</v>
      </c>
      <c r="I16" s="791"/>
      <c r="J16" s="791"/>
      <c r="K16" s="791"/>
      <c r="L16" s="791"/>
      <c r="M16" s="791"/>
      <c r="N16" s="791"/>
    </row>
    <row r="17" spans="1:49" ht="17.25" thickTop="1" thickBot="1" x14ac:dyDescent="0.3">
      <c r="A17" s="794"/>
      <c r="B17" s="815"/>
      <c r="C17" s="816"/>
      <c r="D17" s="816"/>
      <c r="E17" s="795"/>
      <c r="F17" s="817"/>
      <c r="G17" s="815"/>
      <c r="H17" s="815"/>
      <c r="I17" s="791"/>
      <c r="J17" s="791"/>
      <c r="K17" s="791"/>
      <c r="L17" s="791"/>
      <c r="M17" s="791"/>
      <c r="N17" s="791"/>
    </row>
    <row r="18" spans="1:49" ht="16.5" thickTop="1" x14ac:dyDescent="0.25">
      <c r="B18" s="797" t="s">
        <v>32</v>
      </c>
      <c r="C18" s="803" t="s">
        <v>1872</v>
      </c>
      <c r="D18" s="805" t="s">
        <v>1779</v>
      </c>
      <c r="E18" s="791"/>
      <c r="F18" s="809" t="s">
        <v>1873</v>
      </c>
      <c r="G18" s="804" t="s">
        <v>33</v>
      </c>
      <c r="H18" s="798" t="s">
        <v>31</v>
      </c>
      <c r="I18" s="791"/>
      <c r="J18" s="791"/>
      <c r="K18" s="791"/>
      <c r="L18" s="791"/>
      <c r="M18" s="791"/>
      <c r="N18" s="791"/>
    </row>
    <row r="19" spans="1:49" ht="16.5" thickBot="1" x14ac:dyDescent="0.3">
      <c r="A19" s="794" t="s">
        <v>38</v>
      </c>
      <c r="B19" s="841">
        <v>119.3125</v>
      </c>
      <c r="C19" s="842">
        <v>97.748699999999999</v>
      </c>
      <c r="D19" s="843">
        <v>39.642499999999998</v>
      </c>
      <c r="E19" s="795" t="s">
        <v>37</v>
      </c>
      <c r="F19" s="814">
        <f>180-C19-D19</f>
        <v>42.608800000000002</v>
      </c>
      <c r="G19" s="810">
        <f>(B19*SIN(F19*PI()/180))/SIN(C19*PI()/180)</f>
        <v>81.517592883457723</v>
      </c>
      <c r="H19" s="799">
        <f>B19*SIN(D19*PI()/180)/SIN(C19*PI()/180)</f>
        <v>76.822288311930564</v>
      </c>
      <c r="I19" s="791"/>
      <c r="J19" s="791"/>
      <c r="K19" s="791"/>
      <c r="L19" s="791"/>
      <c r="M19" s="791"/>
      <c r="N19" s="791"/>
    </row>
    <row r="20" spans="1:49" ht="17.25" thickTop="1" thickBot="1" x14ac:dyDescent="0.3">
      <c r="A20" s="794"/>
      <c r="B20" s="815"/>
      <c r="C20" s="816"/>
      <c r="D20" s="816"/>
      <c r="E20" s="795"/>
      <c r="F20" s="817"/>
      <c r="G20" s="815"/>
      <c r="H20" s="815"/>
      <c r="I20" s="791"/>
      <c r="J20" s="791"/>
      <c r="K20" s="791"/>
      <c r="L20" s="791"/>
      <c r="M20" s="791"/>
      <c r="N20" s="791"/>
    </row>
    <row r="21" spans="1:49" ht="16.5" thickTop="1" x14ac:dyDescent="0.25">
      <c r="B21" s="797" t="s">
        <v>32</v>
      </c>
      <c r="C21" s="803" t="s">
        <v>1872</v>
      </c>
      <c r="D21" s="798" t="s">
        <v>33</v>
      </c>
      <c r="E21" s="791"/>
      <c r="F21" s="809" t="s">
        <v>1873</v>
      </c>
      <c r="G21" s="803" t="s">
        <v>1779</v>
      </c>
      <c r="H21" s="798" t="s">
        <v>31</v>
      </c>
      <c r="I21" s="791"/>
      <c r="J21" s="791"/>
      <c r="K21" s="791"/>
      <c r="L21" s="791"/>
      <c r="M21" s="791"/>
      <c r="N21" s="791"/>
    </row>
    <row r="22" spans="1:49" ht="16.5" thickBot="1" x14ac:dyDescent="0.3">
      <c r="A22" s="794" t="s">
        <v>38</v>
      </c>
      <c r="B22" s="841">
        <v>119.3125</v>
      </c>
      <c r="C22" s="842">
        <v>97.748699999999999</v>
      </c>
      <c r="D22" s="844">
        <v>81.517499999999998</v>
      </c>
      <c r="E22" s="795" t="s">
        <v>37</v>
      </c>
      <c r="F22" s="814">
        <f>ASIN(D22*SIN(C22*PI()/180)/B22)*180/PI()</f>
        <v>42.608739949404196</v>
      </c>
      <c r="G22" s="811">
        <f>180-F22-C22</f>
        <v>39.642560050595804</v>
      </c>
      <c r="H22" s="799">
        <f>B22*SIN(G22*PI()/180)/SIN(C22*PI()/180)</f>
        <v>76.822385492094639</v>
      </c>
      <c r="I22" s="791"/>
      <c r="J22" s="791"/>
      <c r="K22" s="791"/>
      <c r="L22" s="791"/>
      <c r="M22" s="791"/>
      <c r="N22" s="791"/>
    </row>
    <row r="23" spans="1:49" ht="17.25" thickTop="1" thickBot="1" x14ac:dyDescent="0.3">
      <c r="A23" s="794"/>
      <c r="B23" s="815"/>
      <c r="C23" s="816"/>
      <c r="D23" s="815"/>
      <c r="E23" s="795"/>
      <c r="F23" s="817"/>
      <c r="G23" s="817"/>
      <c r="H23" s="815"/>
      <c r="I23" s="791"/>
      <c r="J23" s="791"/>
      <c r="K23" s="791"/>
      <c r="L23" s="791"/>
      <c r="M23" s="791"/>
      <c r="N23" s="791"/>
    </row>
    <row r="24" spans="1:49" ht="16.5" thickTop="1" x14ac:dyDescent="0.25">
      <c r="B24" s="797" t="s">
        <v>32</v>
      </c>
      <c r="C24" s="803" t="s">
        <v>1779</v>
      </c>
      <c r="D24" s="798" t="s">
        <v>33</v>
      </c>
      <c r="E24" s="791"/>
      <c r="F24" s="809" t="s">
        <v>1872</v>
      </c>
      <c r="G24" s="803" t="s">
        <v>1873</v>
      </c>
      <c r="H24" s="798" t="s">
        <v>31</v>
      </c>
      <c r="I24" s="791"/>
      <c r="J24" s="791"/>
      <c r="K24" s="791"/>
      <c r="L24" s="791"/>
      <c r="M24" s="791"/>
      <c r="N24" s="791"/>
    </row>
    <row r="25" spans="1:49" ht="16.5" thickBot="1" x14ac:dyDescent="0.3">
      <c r="A25" s="794" t="s">
        <v>38</v>
      </c>
      <c r="B25" s="841">
        <v>119.3125</v>
      </c>
      <c r="C25" s="842">
        <v>39.642499999999998</v>
      </c>
      <c r="D25" s="844">
        <v>81.517499999999998</v>
      </c>
      <c r="E25" s="795" t="s">
        <v>37</v>
      </c>
      <c r="F25" s="818" t="b">
        <f>IF(AV25&gt;0,AV25)</f>
        <v>0</v>
      </c>
      <c r="G25" s="819" t="b">
        <f>AW25</f>
        <v>0</v>
      </c>
      <c r="H25" s="820" t="e">
        <f>B25*SIN(C25*PI()/180)/SIN(F25*PI()/180)</f>
        <v>#DIV/0!</v>
      </c>
      <c r="I25" s="807" t="b">
        <f>IF(C25+F25+G25=180,"use this line")</f>
        <v>0</v>
      </c>
      <c r="J25" s="791"/>
      <c r="K25" s="791"/>
      <c r="L25" s="791"/>
      <c r="M25" s="791"/>
      <c r="N25" s="791"/>
      <c r="AV25" s="821">
        <f>ATAN((B25*SIN(C25*PI()/180))/(D25-(B25*COS(C25*PI()/180))))*180/PI()</f>
        <v>-82.251231358001561</v>
      </c>
      <c r="AW25" s="821" t="b">
        <f>IF(AV25&gt;0,180-C25-AV25)</f>
        <v>0</v>
      </c>
    </row>
    <row r="26" spans="1:49" ht="17.25" thickTop="1" thickBot="1" x14ac:dyDescent="0.3">
      <c r="B26" s="791"/>
      <c r="C26" s="791"/>
      <c r="D26" s="791"/>
      <c r="E26" s="791"/>
      <c r="F26" s="814">
        <f>IF(AV25&lt;0,AV26)</f>
        <v>97.748768641998439</v>
      </c>
      <c r="G26" s="801">
        <f>AW26</f>
        <v>42.608731358001577</v>
      </c>
      <c r="H26" s="799">
        <f>B25*SIN(C25*PI()/180)/SIN(F26*PI()/180)</f>
        <v>76.822300835318174</v>
      </c>
      <c r="I26" s="807" t="str">
        <f>IF(H26&gt;0,"Use this Line")</f>
        <v>Use this Line</v>
      </c>
      <c r="J26" s="791"/>
      <c r="K26" s="791"/>
      <c r="L26" s="791"/>
      <c r="M26" s="791"/>
      <c r="N26" s="791"/>
      <c r="AV26" s="817">
        <f>IF(AV25&lt;0,180+AV25)</f>
        <v>97.748768641998439</v>
      </c>
      <c r="AW26" s="821">
        <f>IF(AV26&gt;0,180-C25-AV26)</f>
        <v>42.608731358001577</v>
      </c>
    </row>
    <row r="27" spans="1:49" ht="17.25" thickTop="1" thickBot="1" x14ac:dyDescent="0.3">
      <c r="B27" s="791"/>
      <c r="C27" s="791"/>
      <c r="D27" s="791"/>
      <c r="E27" s="791"/>
      <c r="F27" s="822"/>
      <c r="G27" s="823"/>
      <c r="H27" s="824"/>
      <c r="I27" s="807"/>
      <c r="J27" s="791"/>
      <c r="K27" s="791"/>
      <c r="L27" s="791"/>
      <c r="M27" s="791"/>
      <c r="N27" s="791"/>
      <c r="AV27" s="817"/>
      <c r="AW27" s="821"/>
    </row>
    <row r="28" spans="1:49" ht="16.5" thickTop="1" x14ac:dyDescent="0.25">
      <c r="B28" s="797" t="s">
        <v>32</v>
      </c>
      <c r="C28" s="804" t="s">
        <v>33</v>
      </c>
      <c r="D28" s="798" t="s">
        <v>31</v>
      </c>
      <c r="E28" s="791"/>
      <c r="F28" s="809" t="s">
        <v>1872</v>
      </c>
      <c r="G28" s="803" t="s">
        <v>1873</v>
      </c>
      <c r="H28" s="805" t="s">
        <v>1779</v>
      </c>
      <c r="I28" s="791"/>
      <c r="J28" s="791"/>
      <c r="K28" s="791"/>
      <c r="L28" s="791"/>
      <c r="M28" s="791"/>
      <c r="N28" s="791"/>
    </row>
    <row r="29" spans="1:49" ht="16.5" thickBot="1" x14ac:dyDescent="0.3">
      <c r="A29" s="794" t="s">
        <v>38</v>
      </c>
      <c r="B29" s="841">
        <v>119.3125</v>
      </c>
      <c r="C29" s="845">
        <v>83.337400000000002</v>
      </c>
      <c r="D29" s="844">
        <v>156.80520000000001</v>
      </c>
      <c r="E29" s="795" t="s">
        <v>37</v>
      </c>
      <c r="F29" s="814">
        <f>ACOS((SUMSQ(C29)+SUMSQ(D29)-SUMSQ(B29))/(2*C29*D29))*180/PI()</f>
        <v>48.559596261496388</v>
      </c>
      <c r="G29" s="811">
        <f>ASIN(C29*(SIN(F29*PI()/180)/B29))*180/PI()</f>
        <v>31.574833879454619</v>
      </c>
      <c r="H29" s="812">
        <f>180-F29-G29</f>
        <v>99.865569859049003</v>
      </c>
      <c r="I29" s="791"/>
      <c r="J29" s="791"/>
      <c r="K29" s="791"/>
      <c r="L29" s="791"/>
      <c r="M29" s="791"/>
      <c r="N29" s="791"/>
    </row>
    <row r="30" spans="1:49" ht="17.25" thickTop="1" thickBot="1" x14ac:dyDescent="0.3">
      <c r="B30" s="791"/>
      <c r="C30" s="791"/>
      <c r="D30" s="791"/>
      <c r="E30" s="791"/>
      <c r="F30" s="791"/>
      <c r="G30" s="791"/>
      <c r="H30" s="791"/>
      <c r="I30" s="791"/>
      <c r="J30" s="791"/>
      <c r="K30" s="791"/>
      <c r="L30" s="791"/>
      <c r="M30" s="791"/>
      <c r="N30" s="791"/>
    </row>
    <row r="31" spans="1:49" ht="16.5" thickTop="1" x14ac:dyDescent="0.25">
      <c r="B31" s="797" t="s">
        <v>33</v>
      </c>
      <c r="C31" s="803" t="s">
        <v>1779</v>
      </c>
      <c r="D31" s="806" t="s">
        <v>1873</v>
      </c>
      <c r="E31" s="791"/>
      <c r="F31" s="809" t="s">
        <v>1872</v>
      </c>
      <c r="G31" s="804" t="s">
        <v>31</v>
      </c>
      <c r="H31" s="798" t="s">
        <v>32</v>
      </c>
      <c r="I31" s="791"/>
      <c r="J31" s="791"/>
      <c r="K31" s="791"/>
      <c r="L31" s="791"/>
      <c r="M31" s="791"/>
      <c r="N31" s="791"/>
    </row>
    <row r="32" spans="1:49" ht="16.5" thickBot="1" x14ac:dyDescent="0.3">
      <c r="A32" s="794" t="s">
        <v>38</v>
      </c>
      <c r="B32" s="841">
        <v>81.517499999999998</v>
      </c>
      <c r="C32" s="842">
        <v>39.642499999999998</v>
      </c>
      <c r="D32" s="843">
        <v>42.608800000000002</v>
      </c>
      <c r="E32" s="795" t="s">
        <v>37</v>
      </c>
      <c r="F32" s="814">
        <f>180-C32-D32</f>
        <v>97.748700000000014</v>
      </c>
      <c r="G32" s="810">
        <f>(B32*SIN(C32*PI()/180))/SIN(D32*PI()/180)</f>
        <v>76.82220077843607</v>
      </c>
      <c r="H32" s="799">
        <f>B32*SIN(F32*PI()/180)/SIN(D32*PI()/180)</f>
        <v>119.31236405195298</v>
      </c>
      <c r="I32" s="791"/>
      <c r="J32" s="791"/>
      <c r="K32" s="791"/>
      <c r="L32" s="791"/>
      <c r="M32" s="791"/>
      <c r="N32" s="791"/>
    </row>
    <row r="33" spans="2:14" ht="16.5" thickTop="1" x14ac:dyDescent="0.25">
      <c r="B33" s="791"/>
      <c r="C33" s="791"/>
      <c r="D33" s="791"/>
      <c r="E33" s="791"/>
      <c r="F33" s="791"/>
      <c r="G33" s="791"/>
      <c r="H33" s="791"/>
      <c r="I33" s="791"/>
      <c r="J33" s="791"/>
      <c r="K33" s="791"/>
      <c r="L33" s="791"/>
      <c r="M33" s="791"/>
      <c r="N33" s="791"/>
    </row>
    <row r="34" spans="2:14" ht="15.75" x14ac:dyDescent="0.25">
      <c r="B34" s="791"/>
      <c r="C34" s="791"/>
      <c r="D34" s="791"/>
      <c r="E34" s="791"/>
      <c r="F34" s="791"/>
      <c r="G34" s="791"/>
      <c r="H34" s="791"/>
      <c r="I34" s="791"/>
      <c r="J34" s="791"/>
      <c r="K34" s="791"/>
      <c r="L34" s="791"/>
      <c r="M34" s="791"/>
      <c r="N34" s="791"/>
    </row>
    <row r="35" spans="2:14" ht="15.75" x14ac:dyDescent="0.25">
      <c r="B35" s="791"/>
      <c r="C35" s="791"/>
      <c r="D35" s="791"/>
      <c r="E35" s="791"/>
      <c r="F35" s="791"/>
      <c r="G35" s="791"/>
      <c r="H35" s="791"/>
      <c r="I35" s="791"/>
      <c r="J35" s="791"/>
      <c r="K35" s="791"/>
      <c r="L35" s="791"/>
      <c r="M35" s="791"/>
      <c r="N35" s="791"/>
    </row>
    <row r="36" spans="2:14" ht="15.75" x14ac:dyDescent="0.25">
      <c r="B36" s="791"/>
      <c r="C36" s="791"/>
      <c r="D36" s="791"/>
      <c r="E36" s="791"/>
      <c r="F36" s="791"/>
      <c r="G36" s="791"/>
      <c r="H36" s="791"/>
      <c r="I36" s="791"/>
      <c r="J36" s="791"/>
      <c r="K36" s="791"/>
      <c r="L36" s="791"/>
      <c r="M36" s="791"/>
      <c r="N36" s="791"/>
    </row>
    <row r="37" spans="2:14" ht="15.75" x14ac:dyDescent="0.25">
      <c r="B37" s="791"/>
      <c r="C37" s="791"/>
      <c r="D37" s="791"/>
      <c r="E37" s="791"/>
      <c r="F37" s="791"/>
      <c r="G37" s="791"/>
      <c r="H37" s="791"/>
      <c r="I37" s="791"/>
      <c r="J37" s="791"/>
      <c r="K37" s="791"/>
      <c r="L37" s="791"/>
      <c r="M37" s="791"/>
      <c r="N37" s="791"/>
    </row>
    <row r="38" spans="2:14" ht="15.75" x14ac:dyDescent="0.25">
      <c r="B38" s="791"/>
      <c r="C38" s="791"/>
      <c r="D38" s="791"/>
      <c r="E38" s="791"/>
      <c r="F38" s="791"/>
      <c r="G38" s="791"/>
      <c r="H38" s="791"/>
      <c r="I38" s="791"/>
      <c r="J38" s="791"/>
      <c r="K38" s="791"/>
      <c r="L38" s="791"/>
      <c r="M38" s="791"/>
      <c r="N38" s="791"/>
    </row>
    <row r="39" spans="2:14" ht="15.75" x14ac:dyDescent="0.25">
      <c r="B39" s="791"/>
      <c r="C39" s="791"/>
      <c r="D39" s="791"/>
      <c r="E39" s="791"/>
      <c r="F39" s="791"/>
      <c r="G39" s="791"/>
      <c r="H39" s="791"/>
      <c r="I39" s="791"/>
      <c r="J39" s="791"/>
      <c r="K39" s="791"/>
      <c r="L39" s="791"/>
      <c r="M39" s="791"/>
      <c r="N39" s="791"/>
    </row>
    <row r="40" spans="2:14" ht="15.75" x14ac:dyDescent="0.25">
      <c r="B40" s="791"/>
      <c r="C40" s="791"/>
      <c r="D40" s="791"/>
      <c r="E40" s="791"/>
      <c r="F40" s="791"/>
      <c r="G40" s="791"/>
      <c r="H40" s="791"/>
      <c r="I40" s="791"/>
      <c r="J40" s="791"/>
      <c r="K40" s="791"/>
      <c r="L40" s="791"/>
      <c r="M40" s="791"/>
      <c r="N40" s="791"/>
    </row>
    <row r="41" spans="2:14" ht="15.75" x14ac:dyDescent="0.25">
      <c r="B41" s="791"/>
      <c r="C41" s="791"/>
      <c r="D41" s="791"/>
      <c r="E41" s="791"/>
      <c r="F41" s="791"/>
      <c r="G41" s="791"/>
      <c r="H41" s="791"/>
      <c r="I41" s="791"/>
      <c r="J41" s="791"/>
      <c r="K41" s="791"/>
      <c r="L41" s="791"/>
      <c r="M41" s="791"/>
      <c r="N41" s="791"/>
    </row>
    <row r="42" spans="2:14" ht="15.75" x14ac:dyDescent="0.25">
      <c r="B42" s="791"/>
      <c r="C42" s="791"/>
      <c r="D42" s="791"/>
      <c r="E42" s="791"/>
      <c r="F42" s="791"/>
      <c r="G42" s="791"/>
      <c r="H42" s="791"/>
      <c r="I42" s="791"/>
      <c r="J42" s="791"/>
      <c r="K42" s="791"/>
      <c r="L42" s="791"/>
      <c r="M42" s="791"/>
      <c r="N42" s="791"/>
    </row>
    <row r="43" spans="2:14" ht="15.75" x14ac:dyDescent="0.25">
      <c r="B43" s="791"/>
      <c r="C43" s="791"/>
      <c r="D43" s="791"/>
      <c r="E43" s="791"/>
      <c r="F43" s="791"/>
      <c r="G43" s="791"/>
      <c r="H43" s="791"/>
      <c r="I43" s="791"/>
      <c r="J43" s="791"/>
      <c r="K43" s="791"/>
      <c r="L43" s="791"/>
      <c r="M43" s="791"/>
      <c r="N43" s="791"/>
    </row>
    <row r="44" spans="2:14" ht="15.75" x14ac:dyDescent="0.25">
      <c r="B44" s="791"/>
      <c r="C44" s="791"/>
      <c r="D44" s="791"/>
      <c r="E44" s="791"/>
      <c r="F44" s="791"/>
      <c r="G44" s="791"/>
      <c r="H44" s="791"/>
      <c r="I44" s="791"/>
      <c r="J44" s="791"/>
      <c r="K44" s="791"/>
      <c r="L44" s="791"/>
      <c r="M44" s="791"/>
      <c r="N44" s="791"/>
    </row>
    <row r="45" spans="2:14" ht="15.75" x14ac:dyDescent="0.25">
      <c r="B45" s="791"/>
      <c r="C45" s="791"/>
      <c r="D45" s="791"/>
      <c r="E45" s="791"/>
      <c r="F45" s="791"/>
      <c r="G45" s="791"/>
      <c r="H45" s="791"/>
      <c r="I45" s="791"/>
      <c r="J45" s="791"/>
      <c r="K45" s="791"/>
      <c r="L45" s="791"/>
      <c r="M45" s="791"/>
      <c r="N45" s="791"/>
    </row>
    <row r="46" spans="2:14" ht="15.75" x14ac:dyDescent="0.25">
      <c r="B46" s="791"/>
      <c r="C46" s="791"/>
      <c r="D46" s="791"/>
      <c r="E46" s="791"/>
      <c r="F46" s="791"/>
      <c r="G46" s="791"/>
      <c r="H46" s="791"/>
      <c r="I46" s="791"/>
      <c r="J46" s="791"/>
      <c r="K46" s="791"/>
      <c r="L46" s="791"/>
      <c r="M46" s="791"/>
      <c r="N46" s="791"/>
    </row>
    <row r="47" spans="2:14" ht="15.75" x14ac:dyDescent="0.25">
      <c r="B47" s="791"/>
      <c r="C47" s="791"/>
      <c r="D47" s="791"/>
      <c r="E47" s="791"/>
      <c r="F47" s="791"/>
      <c r="G47" s="791"/>
      <c r="H47" s="791"/>
      <c r="I47" s="791"/>
      <c r="J47" s="791"/>
      <c r="K47" s="791"/>
      <c r="L47" s="791"/>
      <c r="M47" s="791"/>
      <c r="N47" s="791"/>
    </row>
    <row r="48" spans="2:14" ht="15.75" x14ac:dyDescent="0.25">
      <c r="B48" s="791"/>
      <c r="C48" s="791"/>
      <c r="D48" s="791"/>
      <c r="E48" s="791"/>
      <c r="F48" s="791"/>
      <c r="G48" s="791"/>
      <c r="H48" s="791"/>
      <c r="I48" s="791"/>
      <c r="J48" s="791"/>
      <c r="K48" s="791"/>
      <c r="L48" s="791"/>
      <c r="M48" s="791"/>
      <c r="N48" s="791"/>
    </row>
    <row r="49" spans="2:14" ht="15.75" x14ac:dyDescent="0.25">
      <c r="B49" s="791"/>
      <c r="C49" s="791"/>
      <c r="D49" s="791"/>
      <c r="E49" s="791"/>
      <c r="F49" s="791"/>
      <c r="G49" s="791"/>
      <c r="H49" s="791"/>
      <c r="I49" s="791"/>
      <c r="J49" s="791"/>
      <c r="K49" s="791"/>
      <c r="L49" s="791"/>
      <c r="M49" s="791"/>
      <c r="N49" s="791"/>
    </row>
    <row r="50" spans="2:14" ht="15.75" x14ac:dyDescent="0.25">
      <c r="B50" s="791"/>
      <c r="C50" s="791"/>
      <c r="D50" s="791"/>
      <c r="E50" s="791"/>
      <c r="F50" s="791"/>
      <c r="G50" s="791"/>
      <c r="H50" s="791"/>
      <c r="I50" s="791"/>
      <c r="J50" s="791"/>
      <c r="K50" s="791"/>
      <c r="L50" s="791"/>
      <c r="M50" s="791"/>
      <c r="N50" s="791"/>
    </row>
    <row r="51" spans="2:14" ht="15.75" x14ac:dyDescent="0.25">
      <c r="B51" s="791"/>
      <c r="C51" s="791"/>
      <c r="D51" s="791"/>
      <c r="E51" s="791"/>
      <c r="F51" s="791"/>
      <c r="G51" s="791"/>
      <c r="H51" s="791"/>
      <c r="I51" s="791"/>
      <c r="J51" s="791"/>
      <c r="K51" s="791"/>
      <c r="L51" s="791"/>
      <c r="M51" s="791"/>
      <c r="N51" s="791"/>
    </row>
    <row r="52" spans="2:14" ht="15.75" x14ac:dyDescent="0.25">
      <c r="B52" s="791"/>
      <c r="C52" s="791"/>
      <c r="D52" s="791"/>
      <c r="E52" s="791"/>
      <c r="F52" s="791"/>
      <c r="G52" s="791"/>
      <c r="H52" s="791"/>
      <c r="I52" s="791"/>
      <c r="J52" s="791"/>
      <c r="K52" s="791"/>
      <c r="L52" s="791"/>
      <c r="M52" s="791"/>
      <c r="N52" s="791"/>
    </row>
    <row r="53" spans="2:14" ht="15.75" x14ac:dyDescent="0.25">
      <c r="B53" s="791"/>
      <c r="C53" s="791"/>
      <c r="D53" s="791"/>
      <c r="E53" s="791"/>
      <c r="F53" s="791"/>
      <c r="G53" s="791"/>
      <c r="H53" s="791"/>
      <c r="I53" s="791"/>
      <c r="J53" s="791"/>
      <c r="K53" s="791"/>
      <c r="L53" s="791"/>
      <c r="M53" s="791"/>
      <c r="N53" s="791"/>
    </row>
    <row r="54" spans="2:14" ht="15.75" x14ac:dyDescent="0.25">
      <c r="B54" s="791"/>
      <c r="C54" s="791"/>
      <c r="D54" s="791"/>
      <c r="E54" s="791"/>
      <c r="F54" s="791"/>
      <c r="G54" s="791"/>
      <c r="H54" s="791"/>
      <c r="I54" s="791"/>
      <c r="J54" s="791"/>
      <c r="K54" s="791"/>
      <c r="L54" s="791"/>
      <c r="M54" s="791"/>
      <c r="N54" s="791"/>
    </row>
    <row r="55" spans="2:14" ht="15.75" x14ac:dyDescent="0.25">
      <c r="B55" s="791"/>
      <c r="C55" s="791"/>
      <c r="D55" s="791"/>
      <c r="E55" s="791"/>
      <c r="F55" s="791"/>
      <c r="G55" s="791"/>
      <c r="H55" s="791"/>
      <c r="I55" s="791"/>
      <c r="J55" s="791"/>
      <c r="K55" s="791"/>
      <c r="L55" s="791"/>
      <c r="M55" s="791"/>
      <c r="N55" s="791"/>
    </row>
    <row r="56" spans="2:14" ht="15.75" x14ac:dyDescent="0.25">
      <c r="B56" s="791"/>
      <c r="C56" s="791"/>
      <c r="D56" s="791"/>
      <c r="E56" s="791"/>
      <c r="F56" s="791"/>
      <c r="G56" s="791"/>
      <c r="H56" s="791"/>
      <c r="I56" s="791"/>
      <c r="J56" s="791"/>
      <c r="K56" s="791"/>
      <c r="L56" s="791"/>
      <c r="M56" s="791"/>
      <c r="N56" s="791"/>
    </row>
    <row r="57" spans="2:14" ht="15.75" x14ac:dyDescent="0.25">
      <c r="B57" s="791"/>
      <c r="C57" s="791"/>
      <c r="D57" s="791"/>
      <c r="E57" s="791"/>
      <c r="F57" s="791"/>
      <c r="G57" s="791"/>
      <c r="H57" s="791"/>
      <c r="I57" s="791"/>
      <c r="J57" s="791"/>
      <c r="K57" s="791"/>
      <c r="L57" s="791"/>
      <c r="M57" s="791"/>
      <c r="N57" s="791"/>
    </row>
    <row r="58" spans="2:14" ht="15.75" x14ac:dyDescent="0.25">
      <c r="B58" s="791"/>
      <c r="C58" s="791"/>
      <c r="D58" s="791"/>
      <c r="E58" s="791"/>
      <c r="F58" s="791"/>
      <c r="G58" s="791"/>
      <c r="H58" s="791"/>
      <c r="I58" s="791"/>
      <c r="J58" s="791"/>
      <c r="K58" s="791"/>
      <c r="L58" s="791"/>
      <c r="M58" s="791"/>
      <c r="N58" s="791"/>
    </row>
    <row r="59" spans="2:14" ht="15.75" x14ac:dyDescent="0.25">
      <c r="B59" s="791"/>
      <c r="C59" s="791"/>
      <c r="D59" s="791"/>
      <c r="E59" s="791"/>
      <c r="F59" s="791"/>
      <c r="G59" s="791"/>
      <c r="H59" s="791"/>
      <c r="I59" s="791"/>
      <c r="J59" s="791"/>
      <c r="K59" s="791"/>
      <c r="L59" s="791"/>
      <c r="M59" s="791"/>
      <c r="N59" s="791"/>
    </row>
    <row r="60" spans="2:14" ht="15.75" x14ac:dyDescent="0.25">
      <c r="B60" s="791"/>
      <c r="C60" s="791"/>
      <c r="D60" s="791"/>
      <c r="E60" s="791"/>
      <c r="F60" s="791"/>
      <c r="G60" s="791"/>
      <c r="H60" s="791"/>
      <c r="I60" s="791"/>
      <c r="J60" s="791"/>
      <c r="K60" s="791"/>
      <c r="L60" s="791"/>
      <c r="M60" s="791"/>
      <c r="N60" s="791"/>
    </row>
    <row r="61" spans="2:14" ht="15.75" x14ac:dyDescent="0.25">
      <c r="B61" s="791"/>
      <c r="C61" s="791"/>
      <c r="D61" s="791"/>
      <c r="E61" s="791"/>
      <c r="F61" s="791"/>
      <c r="G61" s="791"/>
      <c r="H61" s="791"/>
      <c r="I61" s="791"/>
      <c r="J61" s="791"/>
      <c r="K61" s="791"/>
      <c r="L61" s="791"/>
      <c r="M61" s="791"/>
      <c r="N61" s="791"/>
    </row>
    <row r="62" spans="2:14" ht="15.75" x14ac:dyDescent="0.25">
      <c r="B62" s="791"/>
      <c r="C62" s="791"/>
      <c r="D62" s="791"/>
      <c r="E62" s="791"/>
      <c r="F62" s="791"/>
      <c r="G62" s="791"/>
      <c r="H62" s="791"/>
      <c r="I62" s="791"/>
      <c r="J62" s="791"/>
      <c r="K62" s="791"/>
      <c r="L62" s="791"/>
      <c r="M62" s="791"/>
      <c r="N62" s="791"/>
    </row>
    <row r="63" spans="2:14" ht="15.75" x14ac:dyDescent="0.25">
      <c r="B63" s="791"/>
      <c r="C63" s="791"/>
      <c r="D63" s="791"/>
      <c r="E63" s="791"/>
      <c r="F63" s="791"/>
      <c r="G63" s="791"/>
      <c r="H63" s="791"/>
      <c r="I63" s="791"/>
      <c r="J63" s="791"/>
      <c r="K63" s="791"/>
      <c r="L63" s="791"/>
      <c r="M63" s="791"/>
      <c r="N63" s="791"/>
    </row>
    <row r="64" spans="2:14" ht="15.75" x14ac:dyDescent="0.25">
      <c r="B64" s="791"/>
      <c r="C64" s="791"/>
      <c r="D64" s="791"/>
      <c r="E64" s="791"/>
      <c r="F64" s="791"/>
      <c r="G64" s="791"/>
      <c r="H64" s="791"/>
      <c r="I64" s="791"/>
      <c r="J64" s="791"/>
      <c r="K64" s="791"/>
      <c r="L64" s="791"/>
      <c r="M64" s="791"/>
      <c r="N64" s="791"/>
    </row>
    <row r="65" spans="2:14" ht="15.75" x14ac:dyDescent="0.25">
      <c r="B65" s="791"/>
      <c r="C65" s="791"/>
      <c r="D65" s="791"/>
      <c r="E65" s="791"/>
      <c r="F65" s="791"/>
      <c r="G65" s="791"/>
      <c r="H65" s="791"/>
      <c r="I65" s="791"/>
      <c r="J65" s="791"/>
      <c r="K65" s="791"/>
      <c r="L65" s="791"/>
      <c r="M65" s="791"/>
      <c r="N65" s="791"/>
    </row>
    <row r="66" spans="2:14" ht="15.75" x14ac:dyDescent="0.25">
      <c r="B66" s="791"/>
      <c r="C66" s="791"/>
      <c r="D66" s="791"/>
      <c r="E66" s="791"/>
      <c r="F66" s="791"/>
      <c r="G66" s="791"/>
      <c r="H66" s="791"/>
      <c r="I66" s="791"/>
      <c r="J66" s="791"/>
      <c r="K66" s="791"/>
      <c r="L66" s="791"/>
      <c r="M66" s="791"/>
      <c r="N66" s="791"/>
    </row>
    <row r="67" spans="2:14" ht="15.75" x14ac:dyDescent="0.25">
      <c r="B67" s="791"/>
      <c r="C67" s="791"/>
      <c r="D67" s="791"/>
      <c r="E67" s="791"/>
      <c r="F67" s="791"/>
      <c r="G67" s="791"/>
      <c r="H67" s="791"/>
      <c r="I67" s="791"/>
      <c r="J67" s="791"/>
      <c r="K67" s="791"/>
      <c r="L67" s="791"/>
      <c r="M67" s="791"/>
      <c r="N67" s="791"/>
    </row>
    <row r="68" spans="2:14" ht="15.75" x14ac:dyDescent="0.25">
      <c r="B68" s="791"/>
      <c r="C68" s="791"/>
      <c r="D68" s="791"/>
      <c r="E68" s="791"/>
      <c r="F68" s="791"/>
      <c r="G68" s="791"/>
      <c r="H68" s="791"/>
      <c r="I68" s="791"/>
      <c r="J68" s="791"/>
      <c r="K68" s="791"/>
      <c r="L68" s="791"/>
      <c r="M68" s="791"/>
      <c r="N68" s="791"/>
    </row>
    <row r="69" spans="2:14" ht="15.75" x14ac:dyDescent="0.25">
      <c r="B69" s="791"/>
      <c r="C69" s="791"/>
      <c r="D69" s="791"/>
      <c r="E69" s="791"/>
      <c r="F69" s="791"/>
      <c r="G69" s="791"/>
      <c r="H69" s="791"/>
      <c r="I69" s="791"/>
      <c r="J69" s="791"/>
      <c r="K69" s="791"/>
      <c r="L69" s="791"/>
      <c r="M69" s="791"/>
      <c r="N69" s="791"/>
    </row>
    <row r="70" spans="2:14" ht="15.75" x14ac:dyDescent="0.25">
      <c r="B70" s="791"/>
      <c r="C70" s="791"/>
      <c r="D70" s="791"/>
      <c r="E70" s="791"/>
      <c r="F70" s="791"/>
      <c r="G70" s="791"/>
      <c r="H70" s="791"/>
      <c r="I70" s="791"/>
      <c r="J70" s="791"/>
      <c r="K70" s="791"/>
      <c r="L70" s="791"/>
      <c r="M70" s="791"/>
      <c r="N70" s="791"/>
    </row>
    <row r="71" spans="2:14" ht="15.75" x14ac:dyDescent="0.25">
      <c r="B71" s="791"/>
      <c r="C71" s="791"/>
      <c r="D71" s="791"/>
      <c r="E71" s="791"/>
      <c r="F71" s="791"/>
      <c r="G71" s="791"/>
      <c r="H71" s="791"/>
      <c r="I71" s="791"/>
      <c r="J71" s="791"/>
      <c r="K71" s="791"/>
      <c r="L71" s="791"/>
      <c r="M71" s="791"/>
      <c r="N71" s="791"/>
    </row>
    <row r="72" spans="2:14" ht="15.75" x14ac:dyDescent="0.25">
      <c r="B72" s="791"/>
      <c r="C72" s="791"/>
      <c r="D72" s="791"/>
      <c r="E72" s="791"/>
      <c r="F72" s="791"/>
      <c r="G72" s="791"/>
      <c r="H72" s="791"/>
      <c r="I72" s="791"/>
      <c r="J72" s="791"/>
      <c r="K72" s="791"/>
      <c r="L72" s="791"/>
      <c r="M72" s="791"/>
      <c r="N72" s="791"/>
    </row>
    <row r="73" spans="2:14" ht="15.75" x14ac:dyDescent="0.25">
      <c r="B73" s="791"/>
      <c r="C73" s="791"/>
      <c r="D73" s="791"/>
      <c r="E73" s="791"/>
      <c r="F73" s="791"/>
      <c r="G73" s="791"/>
      <c r="H73" s="791"/>
      <c r="I73" s="791"/>
      <c r="J73" s="791"/>
      <c r="K73" s="791"/>
      <c r="L73" s="791"/>
      <c r="M73" s="791"/>
      <c r="N73" s="791"/>
    </row>
    <row r="74" spans="2:14" ht="15.75" x14ac:dyDescent="0.25">
      <c r="B74" s="791"/>
      <c r="C74" s="791"/>
      <c r="D74" s="791"/>
      <c r="E74" s="791"/>
      <c r="F74" s="791"/>
      <c r="G74" s="791"/>
      <c r="H74" s="791"/>
      <c r="I74" s="791"/>
      <c r="J74" s="791"/>
      <c r="K74" s="791"/>
      <c r="L74" s="791"/>
      <c r="M74" s="791"/>
      <c r="N74" s="791"/>
    </row>
  </sheetData>
  <sheetProtection password="CDD2" sheet="1" objects="1" scenarios="1"/>
  <pageMargins left="0.75" right="0.75" top="1" bottom="1" header="0.5" footer="0.5"/>
  <pageSetup scale="46" orientation="portrait" verticalDpi="0" r:id="rId1"/>
  <headerFooter alignWithMargins="0"/>
  <colBreaks count="1" manualBreakCount="1">
    <brk id="19" max="1048575" man="1"/>
  </col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1098"/>
  <sheetViews>
    <sheetView showGridLines="0" workbookViewId="0">
      <pane ySplit="7" topLeftCell="A8" activePane="bottomLeft" state="frozen"/>
      <selection pane="bottomLeft" activeCell="C1087" sqref="C1087"/>
    </sheetView>
  </sheetViews>
  <sheetFormatPr defaultRowHeight="12.75" x14ac:dyDescent="0.2"/>
  <cols>
    <col min="1" max="1" width="2.7109375" customWidth="1"/>
    <col min="2" max="2" width="11.140625" customWidth="1"/>
    <col min="3" max="3" width="18.140625" customWidth="1"/>
    <col min="4" max="4" width="2" customWidth="1"/>
    <col min="5" max="5" width="16.85546875" customWidth="1"/>
    <col min="6" max="6" width="1.42578125" customWidth="1"/>
    <col min="7" max="7" width="13.140625" customWidth="1"/>
    <col min="8" max="8" width="2.28515625" customWidth="1"/>
    <col min="9" max="11" width="0" hidden="1" customWidth="1"/>
    <col min="12" max="12" width="21.42578125" customWidth="1"/>
    <col min="13" max="13" width="2.42578125" customWidth="1"/>
    <col min="14" max="14" width="13.7109375" customWidth="1"/>
    <col min="15" max="15" width="11.85546875" customWidth="1"/>
    <col min="17" max="18" width="0" hidden="1" customWidth="1"/>
  </cols>
  <sheetData>
    <row r="1" spans="2:18" ht="16.5" thickTop="1" thickBot="1" x14ac:dyDescent="0.25">
      <c r="B1" s="829" t="s">
        <v>1805</v>
      </c>
      <c r="E1" s="31"/>
      <c r="H1" s="1175"/>
      <c r="L1" s="829" t="s">
        <v>1806</v>
      </c>
      <c r="O1" s="31" t="s">
        <v>717</v>
      </c>
    </row>
    <row r="2" spans="2:18" ht="13.5" thickTop="1" x14ac:dyDescent="0.2">
      <c r="B2" s="1176"/>
      <c r="C2" s="1177"/>
      <c r="D2" s="1178"/>
      <c r="E2" s="1179" t="s">
        <v>1833</v>
      </c>
      <c r="F2" s="1180"/>
      <c r="G2" s="1181" t="s">
        <v>1833</v>
      </c>
      <c r="H2" s="1182"/>
      <c r="L2" s="1179" t="s">
        <v>1833</v>
      </c>
      <c r="M2" s="1178"/>
      <c r="N2" s="1176"/>
      <c r="O2" s="1177"/>
    </row>
    <row r="3" spans="2:18" x14ac:dyDescent="0.2">
      <c r="B3" s="1183"/>
      <c r="C3" s="1184"/>
      <c r="D3" s="1185"/>
      <c r="E3" s="1186" t="s">
        <v>718</v>
      </c>
      <c r="F3" s="1187"/>
      <c r="G3" s="1188" t="s">
        <v>1837</v>
      </c>
      <c r="H3" s="1182"/>
      <c r="L3" s="1186" t="s">
        <v>718</v>
      </c>
      <c r="M3" s="1185"/>
      <c r="N3" s="1183"/>
      <c r="O3" s="1184"/>
    </row>
    <row r="4" spans="2:18" x14ac:dyDescent="0.2">
      <c r="B4" s="1189" t="s">
        <v>1832</v>
      </c>
      <c r="C4" s="1190" t="s">
        <v>1802</v>
      </c>
      <c r="D4" s="1185"/>
      <c r="E4" s="1191" t="str">
        <f>IF(K7=0," ",IF(K7&gt;0,SUM(E8:E1097)))</f>
        <v xml:space="preserve"> </v>
      </c>
      <c r="F4" s="1187"/>
      <c r="G4" s="1192" t="str">
        <f>IF(K7=0," ",IF(K7&gt;0,SUM(G8:G1097)))</f>
        <v xml:space="preserve"> </v>
      </c>
      <c r="H4" s="1182"/>
      <c r="L4" s="1186"/>
      <c r="M4" s="1185"/>
      <c r="N4" s="1189" t="s">
        <v>1832</v>
      </c>
      <c r="O4" s="1190" t="s">
        <v>1802</v>
      </c>
    </row>
    <row r="5" spans="2:18" ht="16.5" thickBot="1" x14ac:dyDescent="0.3">
      <c r="B5" s="1193" t="str">
        <f>IF(K7=0," ",IF(K7&gt;0,TRUNC(K7)))</f>
        <v xml:space="preserve"> </v>
      </c>
      <c r="C5" s="1194" t="str">
        <f>IF(K7=0," ",IF(K7&gt;0,(K7-B5)*12))</f>
        <v xml:space="preserve"> </v>
      </c>
      <c r="D5" s="1195"/>
      <c r="E5" s="1196"/>
      <c r="F5" s="1196"/>
      <c r="G5" s="1196"/>
      <c r="H5" s="1182"/>
      <c r="L5" s="1197" t="str">
        <f>IF(R7=0," ",IF(R7&gt;0,SUM(L8:L1832)))</f>
        <v xml:space="preserve"> </v>
      </c>
      <c r="M5" s="1198"/>
      <c r="N5" s="1199" t="str">
        <f>IF(R7=0," ",IF(R7&gt;0,TRUNC(R7)))</f>
        <v xml:space="preserve"> </v>
      </c>
      <c r="O5" s="1200" t="str">
        <f>IF(R7=0," ",IF(R7&gt;0,(R7-N5)*12))</f>
        <v xml:space="preserve"> </v>
      </c>
    </row>
    <row r="6" spans="2:18" ht="13.5" thickTop="1" x14ac:dyDescent="0.2">
      <c r="B6" s="192" t="s">
        <v>719</v>
      </c>
      <c r="H6" s="1201"/>
      <c r="L6" s="192" t="s">
        <v>720</v>
      </c>
    </row>
    <row r="7" spans="2:18" ht="13.5" thickBot="1" x14ac:dyDescent="0.25">
      <c r="B7" s="28" t="s">
        <v>1832</v>
      </c>
      <c r="C7" s="28" t="s">
        <v>1802</v>
      </c>
      <c r="E7" s="28" t="s">
        <v>718</v>
      </c>
      <c r="F7" s="28"/>
      <c r="G7" s="28" t="s">
        <v>1837</v>
      </c>
      <c r="H7" s="1201"/>
      <c r="K7" s="457">
        <f>SUM(K8:K1261)</f>
        <v>0</v>
      </c>
      <c r="L7" s="28" t="s">
        <v>718</v>
      </c>
      <c r="N7" s="28" t="s">
        <v>1832</v>
      </c>
      <c r="O7" s="28" t="s">
        <v>1802</v>
      </c>
      <c r="R7" s="457">
        <f>SUM(R8:R1261)</f>
        <v>0</v>
      </c>
    </row>
    <row r="8" spans="2:18" ht="13.5" thickTop="1" x14ac:dyDescent="0.2">
      <c r="B8" s="1202"/>
      <c r="C8" s="1203"/>
      <c r="D8" s="939"/>
      <c r="E8" s="1204" t="str">
        <f>IF(K8=0," ",IF(K8&gt;0,K8*12*25.4))</f>
        <v xml:space="preserve"> </v>
      </c>
      <c r="G8" s="1205" t="str">
        <f>IF(K8=0," ",IF(K8&gt;0,E8/1000))</f>
        <v xml:space="preserve"> </v>
      </c>
      <c r="H8" s="1201"/>
      <c r="I8">
        <f t="shared" ref="I8:I71" si="0">(J8+C8)/12</f>
        <v>0</v>
      </c>
      <c r="K8">
        <f t="shared" ref="K8:K71" si="1">I8+B8</f>
        <v>0</v>
      </c>
      <c r="L8" s="1206"/>
      <c r="N8" s="1207" t="str">
        <f>IF(R8=0," ",IF(R8&gt;0,TRUNC(R8)))</f>
        <v xml:space="preserve"> </v>
      </c>
      <c r="O8" s="1208" t="str">
        <f>IF(R8=0," ",IF(R8&gt;0,(R8-N8)*12))</f>
        <v xml:space="preserve"> </v>
      </c>
      <c r="Q8">
        <f>L8/25.4</f>
        <v>0</v>
      </c>
      <c r="R8">
        <f>Q8/12</f>
        <v>0</v>
      </c>
    </row>
    <row r="9" spans="2:18" x14ac:dyDescent="0.2">
      <c r="B9" s="1209"/>
      <c r="C9" s="1210"/>
      <c r="D9" s="939"/>
      <c r="E9" s="1211" t="str">
        <f>IF(K9=0," ",IF(K9&gt;0,K9*12*25.4))</f>
        <v xml:space="preserve"> </v>
      </c>
      <c r="G9" s="1212" t="str">
        <f>IF(K9=0," ",IF(K9&gt;0,E9/1000))</f>
        <v xml:space="preserve"> </v>
      </c>
      <c r="H9" s="1201"/>
      <c r="I9">
        <f t="shared" si="0"/>
        <v>0</v>
      </c>
      <c r="K9">
        <f t="shared" si="1"/>
        <v>0</v>
      </c>
      <c r="L9" s="1213"/>
      <c r="N9" s="1214" t="str">
        <f>IF(R9=0," ",IF(R9&gt;0,TRUNC(R9)))</f>
        <v xml:space="preserve"> </v>
      </c>
      <c r="O9" s="1215" t="str">
        <f>IF(R9=0," ",IF(R9&gt;0,(R9-N9)*12))</f>
        <v xml:space="preserve"> </v>
      </c>
      <c r="Q9">
        <f>L9/25.4</f>
        <v>0</v>
      </c>
      <c r="R9">
        <f>Q9/12</f>
        <v>0</v>
      </c>
    </row>
    <row r="10" spans="2:18" x14ac:dyDescent="0.2">
      <c r="B10" s="1209"/>
      <c r="C10" s="1210"/>
      <c r="D10" s="939"/>
      <c r="E10" s="1211" t="str">
        <f t="shared" ref="E10:E73" si="2">IF(K10=0," ",IF(K10&gt;0,K10*12*25.4))</f>
        <v xml:space="preserve"> </v>
      </c>
      <c r="G10" s="1212" t="str">
        <f t="shared" ref="G10:G73" si="3">IF(K10=0," ",IF(K10&gt;0,E10/1000))</f>
        <v xml:space="preserve"> </v>
      </c>
      <c r="H10" s="1201"/>
      <c r="I10">
        <f t="shared" si="0"/>
        <v>0</v>
      </c>
      <c r="K10">
        <f t="shared" si="1"/>
        <v>0</v>
      </c>
      <c r="L10" s="1213"/>
      <c r="N10" s="1214" t="str">
        <f t="shared" ref="N10:N73" si="4">IF(R10=0," ",IF(R10&gt;0,TRUNC(R10)))</f>
        <v xml:space="preserve"> </v>
      </c>
      <c r="O10" s="1215" t="str">
        <f t="shared" ref="O10:O73" si="5">IF(R10=0," ",IF(R10&gt;0,(R10-N10)*12))</f>
        <v xml:space="preserve"> </v>
      </c>
      <c r="Q10">
        <f t="shared" ref="Q10:Q73" si="6">L10/25.4</f>
        <v>0</v>
      </c>
      <c r="R10">
        <f t="shared" ref="R10:R73" si="7">Q10/12</f>
        <v>0</v>
      </c>
    </row>
    <row r="11" spans="2:18" x14ac:dyDescent="0.2">
      <c r="B11" s="1209"/>
      <c r="C11" s="1210"/>
      <c r="D11" s="939"/>
      <c r="E11" s="1211" t="str">
        <f t="shared" si="2"/>
        <v xml:space="preserve"> </v>
      </c>
      <c r="G11" s="1212" t="str">
        <f t="shared" si="3"/>
        <v xml:space="preserve"> </v>
      </c>
      <c r="H11" s="1201"/>
      <c r="I11">
        <f t="shared" si="0"/>
        <v>0</v>
      </c>
      <c r="K11">
        <f t="shared" si="1"/>
        <v>0</v>
      </c>
      <c r="L11" s="1213"/>
      <c r="N11" s="1214" t="str">
        <f t="shared" si="4"/>
        <v xml:space="preserve"> </v>
      </c>
      <c r="O11" s="1215" t="str">
        <f t="shared" si="5"/>
        <v xml:space="preserve"> </v>
      </c>
      <c r="Q11">
        <f t="shared" si="6"/>
        <v>0</v>
      </c>
      <c r="R11">
        <f t="shared" si="7"/>
        <v>0</v>
      </c>
    </row>
    <row r="12" spans="2:18" x14ac:dyDescent="0.2">
      <c r="B12" s="1209"/>
      <c r="C12" s="1210"/>
      <c r="D12" s="939"/>
      <c r="E12" s="1211" t="str">
        <f t="shared" si="2"/>
        <v xml:space="preserve"> </v>
      </c>
      <c r="G12" s="1212" t="str">
        <f t="shared" si="3"/>
        <v xml:space="preserve"> </v>
      </c>
      <c r="H12" s="1201"/>
      <c r="I12">
        <f t="shared" si="0"/>
        <v>0</v>
      </c>
      <c r="K12">
        <f t="shared" si="1"/>
        <v>0</v>
      </c>
      <c r="L12" s="1213"/>
      <c r="N12" s="1214" t="str">
        <f t="shared" si="4"/>
        <v xml:space="preserve"> </v>
      </c>
      <c r="O12" s="1215" t="str">
        <f t="shared" si="5"/>
        <v xml:space="preserve"> </v>
      </c>
      <c r="Q12">
        <f t="shared" si="6"/>
        <v>0</v>
      </c>
      <c r="R12">
        <f t="shared" si="7"/>
        <v>0</v>
      </c>
    </row>
    <row r="13" spans="2:18" x14ac:dyDescent="0.2">
      <c r="B13" s="1209"/>
      <c r="C13" s="1210"/>
      <c r="D13" s="939"/>
      <c r="E13" s="1211" t="str">
        <f t="shared" si="2"/>
        <v xml:space="preserve"> </v>
      </c>
      <c r="G13" s="1212" t="str">
        <f t="shared" si="3"/>
        <v xml:space="preserve"> </v>
      </c>
      <c r="H13" s="1201"/>
      <c r="I13">
        <f t="shared" si="0"/>
        <v>0</v>
      </c>
      <c r="K13">
        <f t="shared" si="1"/>
        <v>0</v>
      </c>
      <c r="L13" s="1213"/>
      <c r="N13" s="1214" t="str">
        <f t="shared" si="4"/>
        <v xml:space="preserve"> </v>
      </c>
      <c r="O13" s="1215" t="str">
        <f t="shared" si="5"/>
        <v xml:space="preserve"> </v>
      </c>
      <c r="Q13">
        <f t="shared" si="6"/>
        <v>0</v>
      </c>
      <c r="R13">
        <f t="shared" si="7"/>
        <v>0</v>
      </c>
    </row>
    <row r="14" spans="2:18" x14ac:dyDescent="0.2">
      <c r="B14" s="1209"/>
      <c r="C14" s="1210"/>
      <c r="D14" s="939"/>
      <c r="E14" s="1211" t="str">
        <f t="shared" si="2"/>
        <v xml:space="preserve"> </v>
      </c>
      <c r="G14" s="1212" t="str">
        <f t="shared" si="3"/>
        <v xml:space="preserve"> </v>
      </c>
      <c r="H14" s="1201"/>
      <c r="I14">
        <f t="shared" si="0"/>
        <v>0</v>
      </c>
      <c r="K14">
        <f t="shared" si="1"/>
        <v>0</v>
      </c>
      <c r="L14" s="1213"/>
      <c r="N14" s="1214" t="str">
        <f t="shared" si="4"/>
        <v xml:space="preserve"> </v>
      </c>
      <c r="O14" s="1215" t="str">
        <f t="shared" si="5"/>
        <v xml:space="preserve"> </v>
      </c>
      <c r="Q14">
        <f t="shared" si="6"/>
        <v>0</v>
      </c>
      <c r="R14">
        <f t="shared" si="7"/>
        <v>0</v>
      </c>
    </row>
    <row r="15" spans="2:18" x14ac:dyDescent="0.2">
      <c r="B15" s="1209"/>
      <c r="C15" s="1210"/>
      <c r="D15" s="939"/>
      <c r="E15" s="1211" t="str">
        <f t="shared" si="2"/>
        <v xml:space="preserve"> </v>
      </c>
      <c r="G15" s="1212" t="str">
        <f t="shared" si="3"/>
        <v xml:space="preserve"> </v>
      </c>
      <c r="H15" s="1201"/>
      <c r="I15">
        <f t="shared" si="0"/>
        <v>0</v>
      </c>
      <c r="K15">
        <f t="shared" si="1"/>
        <v>0</v>
      </c>
      <c r="L15" s="1213"/>
      <c r="N15" s="1214" t="str">
        <f t="shared" si="4"/>
        <v xml:space="preserve"> </v>
      </c>
      <c r="O15" s="1215" t="str">
        <f t="shared" si="5"/>
        <v xml:space="preserve"> </v>
      </c>
      <c r="Q15">
        <f t="shared" si="6"/>
        <v>0</v>
      </c>
      <c r="R15">
        <f t="shared" si="7"/>
        <v>0</v>
      </c>
    </row>
    <row r="16" spans="2:18" x14ac:dyDescent="0.2">
      <c r="B16" s="1209"/>
      <c r="C16" s="1210"/>
      <c r="D16" s="939"/>
      <c r="E16" s="1211" t="str">
        <f t="shared" si="2"/>
        <v xml:space="preserve"> </v>
      </c>
      <c r="G16" s="1212" t="str">
        <f t="shared" si="3"/>
        <v xml:space="preserve"> </v>
      </c>
      <c r="H16" s="1201"/>
      <c r="I16">
        <f t="shared" si="0"/>
        <v>0</v>
      </c>
      <c r="K16">
        <f t="shared" si="1"/>
        <v>0</v>
      </c>
      <c r="L16" s="1213"/>
      <c r="N16" s="1214" t="str">
        <f t="shared" si="4"/>
        <v xml:space="preserve"> </v>
      </c>
      <c r="O16" s="1215" t="str">
        <f t="shared" si="5"/>
        <v xml:space="preserve"> </v>
      </c>
      <c r="Q16">
        <f t="shared" si="6"/>
        <v>0</v>
      </c>
      <c r="R16">
        <f t="shared" si="7"/>
        <v>0</v>
      </c>
    </row>
    <row r="17" spans="2:18" x14ac:dyDescent="0.2">
      <c r="B17" s="1209"/>
      <c r="C17" s="1210"/>
      <c r="D17" s="939"/>
      <c r="E17" s="1211" t="str">
        <f t="shared" si="2"/>
        <v xml:space="preserve"> </v>
      </c>
      <c r="G17" s="1212" t="str">
        <f t="shared" si="3"/>
        <v xml:space="preserve"> </v>
      </c>
      <c r="H17" s="1201"/>
      <c r="I17">
        <f t="shared" si="0"/>
        <v>0</v>
      </c>
      <c r="K17">
        <f t="shared" si="1"/>
        <v>0</v>
      </c>
      <c r="L17" s="1213"/>
      <c r="N17" s="1214" t="str">
        <f t="shared" si="4"/>
        <v xml:space="preserve"> </v>
      </c>
      <c r="O17" s="1215" t="str">
        <f t="shared" si="5"/>
        <v xml:space="preserve"> </v>
      </c>
      <c r="Q17">
        <f t="shared" si="6"/>
        <v>0</v>
      </c>
      <c r="R17">
        <f t="shared" si="7"/>
        <v>0</v>
      </c>
    </row>
    <row r="18" spans="2:18" x14ac:dyDescent="0.2">
      <c r="B18" s="1209"/>
      <c r="C18" s="1210"/>
      <c r="D18" s="939"/>
      <c r="E18" s="1211" t="str">
        <f t="shared" si="2"/>
        <v xml:space="preserve"> </v>
      </c>
      <c r="G18" s="1212" t="str">
        <f t="shared" si="3"/>
        <v xml:space="preserve"> </v>
      </c>
      <c r="H18" s="1201"/>
      <c r="I18">
        <f t="shared" si="0"/>
        <v>0</v>
      </c>
      <c r="K18">
        <f t="shared" si="1"/>
        <v>0</v>
      </c>
      <c r="L18" s="1213"/>
      <c r="N18" s="1214" t="str">
        <f t="shared" si="4"/>
        <v xml:space="preserve"> </v>
      </c>
      <c r="O18" s="1215" t="str">
        <f t="shared" si="5"/>
        <v xml:space="preserve"> </v>
      </c>
      <c r="Q18">
        <f t="shared" si="6"/>
        <v>0</v>
      </c>
      <c r="R18">
        <f t="shared" si="7"/>
        <v>0</v>
      </c>
    </row>
    <row r="19" spans="2:18" x14ac:dyDescent="0.2">
      <c r="B19" s="1209"/>
      <c r="C19" s="1210"/>
      <c r="D19" s="939"/>
      <c r="E19" s="1211" t="str">
        <f t="shared" si="2"/>
        <v xml:space="preserve"> </v>
      </c>
      <c r="G19" s="1212" t="str">
        <f t="shared" si="3"/>
        <v xml:space="preserve"> </v>
      </c>
      <c r="H19" s="1201"/>
      <c r="I19">
        <f t="shared" si="0"/>
        <v>0</v>
      </c>
      <c r="K19">
        <f t="shared" si="1"/>
        <v>0</v>
      </c>
      <c r="L19" s="1213"/>
      <c r="N19" s="1214" t="str">
        <f t="shared" si="4"/>
        <v xml:space="preserve"> </v>
      </c>
      <c r="O19" s="1215" t="str">
        <f t="shared" si="5"/>
        <v xml:space="preserve"> </v>
      </c>
      <c r="Q19">
        <f t="shared" si="6"/>
        <v>0</v>
      </c>
      <c r="R19">
        <f t="shared" si="7"/>
        <v>0</v>
      </c>
    </row>
    <row r="20" spans="2:18" x14ac:dyDescent="0.2">
      <c r="B20" s="1209"/>
      <c r="C20" s="1210"/>
      <c r="D20" s="939"/>
      <c r="E20" s="1211" t="str">
        <f t="shared" si="2"/>
        <v xml:space="preserve"> </v>
      </c>
      <c r="G20" s="1212" t="str">
        <f t="shared" si="3"/>
        <v xml:space="preserve"> </v>
      </c>
      <c r="H20" s="1201"/>
      <c r="I20">
        <f t="shared" si="0"/>
        <v>0</v>
      </c>
      <c r="K20">
        <f t="shared" si="1"/>
        <v>0</v>
      </c>
      <c r="L20" s="1213"/>
      <c r="N20" s="1214" t="str">
        <f t="shared" si="4"/>
        <v xml:space="preserve"> </v>
      </c>
      <c r="O20" s="1215" t="str">
        <f t="shared" si="5"/>
        <v xml:space="preserve"> </v>
      </c>
      <c r="Q20">
        <f t="shared" si="6"/>
        <v>0</v>
      </c>
      <c r="R20">
        <f t="shared" si="7"/>
        <v>0</v>
      </c>
    </row>
    <row r="21" spans="2:18" x14ac:dyDescent="0.2">
      <c r="B21" s="1209"/>
      <c r="C21" s="1210"/>
      <c r="D21" s="939"/>
      <c r="E21" s="1211" t="str">
        <f t="shared" si="2"/>
        <v xml:space="preserve"> </v>
      </c>
      <c r="G21" s="1212" t="str">
        <f t="shared" si="3"/>
        <v xml:space="preserve"> </v>
      </c>
      <c r="H21" s="1201"/>
      <c r="I21">
        <f t="shared" si="0"/>
        <v>0</v>
      </c>
      <c r="K21">
        <f t="shared" si="1"/>
        <v>0</v>
      </c>
      <c r="L21" s="1213"/>
      <c r="N21" s="1214" t="str">
        <f t="shared" si="4"/>
        <v xml:space="preserve"> </v>
      </c>
      <c r="O21" s="1215" t="str">
        <f t="shared" si="5"/>
        <v xml:space="preserve"> </v>
      </c>
      <c r="Q21">
        <f t="shared" si="6"/>
        <v>0</v>
      </c>
      <c r="R21">
        <f t="shared" si="7"/>
        <v>0</v>
      </c>
    </row>
    <row r="22" spans="2:18" x14ac:dyDescent="0.2">
      <c r="B22" s="1209"/>
      <c r="C22" s="1210"/>
      <c r="D22" s="939"/>
      <c r="E22" s="1211" t="str">
        <f t="shared" si="2"/>
        <v xml:space="preserve"> </v>
      </c>
      <c r="G22" s="1212" t="str">
        <f t="shared" si="3"/>
        <v xml:space="preserve"> </v>
      </c>
      <c r="H22" s="1201"/>
      <c r="I22">
        <f t="shared" si="0"/>
        <v>0</v>
      </c>
      <c r="K22">
        <f t="shared" si="1"/>
        <v>0</v>
      </c>
      <c r="L22" s="1213"/>
      <c r="N22" s="1214" t="str">
        <f t="shared" si="4"/>
        <v xml:space="preserve"> </v>
      </c>
      <c r="O22" s="1215" t="str">
        <f t="shared" si="5"/>
        <v xml:space="preserve"> </v>
      </c>
      <c r="Q22">
        <f t="shared" si="6"/>
        <v>0</v>
      </c>
      <c r="R22">
        <f t="shared" si="7"/>
        <v>0</v>
      </c>
    </row>
    <row r="23" spans="2:18" x14ac:dyDescent="0.2">
      <c r="B23" s="1209"/>
      <c r="C23" s="1210"/>
      <c r="D23" s="939"/>
      <c r="E23" s="1211" t="str">
        <f t="shared" si="2"/>
        <v xml:space="preserve"> </v>
      </c>
      <c r="G23" s="1212" t="str">
        <f t="shared" si="3"/>
        <v xml:space="preserve"> </v>
      </c>
      <c r="H23" s="1201"/>
      <c r="I23">
        <f t="shared" si="0"/>
        <v>0</v>
      </c>
      <c r="K23">
        <f t="shared" si="1"/>
        <v>0</v>
      </c>
      <c r="L23" s="1213"/>
      <c r="N23" s="1214" t="str">
        <f t="shared" si="4"/>
        <v xml:space="preserve"> </v>
      </c>
      <c r="O23" s="1215" t="str">
        <f t="shared" si="5"/>
        <v xml:space="preserve"> </v>
      </c>
      <c r="Q23">
        <f t="shared" si="6"/>
        <v>0</v>
      </c>
      <c r="R23">
        <f t="shared" si="7"/>
        <v>0</v>
      </c>
    </row>
    <row r="24" spans="2:18" x14ac:dyDescent="0.2">
      <c r="B24" s="1209"/>
      <c r="C24" s="1210"/>
      <c r="D24" s="939"/>
      <c r="E24" s="1211" t="str">
        <f t="shared" si="2"/>
        <v xml:space="preserve"> </v>
      </c>
      <c r="G24" s="1212" t="str">
        <f t="shared" si="3"/>
        <v xml:space="preserve"> </v>
      </c>
      <c r="H24" s="1201"/>
      <c r="I24">
        <f t="shared" si="0"/>
        <v>0</v>
      </c>
      <c r="K24">
        <f t="shared" si="1"/>
        <v>0</v>
      </c>
      <c r="L24" s="1213"/>
      <c r="N24" s="1214" t="str">
        <f t="shared" si="4"/>
        <v xml:space="preserve"> </v>
      </c>
      <c r="O24" s="1215" t="str">
        <f t="shared" si="5"/>
        <v xml:space="preserve"> </v>
      </c>
      <c r="Q24">
        <f t="shared" si="6"/>
        <v>0</v>
      </c>
      <c r="R24">
        <f t="shared" si="7"/>
        <v>0</v>
      </c>
    </row>
    <row r="25" spans="2:18" x14ac:dyDescent="0.2">
      <c r="B25" s="1209"/>
      <c r="C25" s="1210"/>
      <c r="D25" s="939"/>
      <c r="E25" s="1211" t="str">
        <f t="shared" si="2"/>
        <v xml:space="preserve"> </v>
      </c>
      <c r="G25" s="1212" t="str">
        <f t="shared" si="3"/>
        <v xml:space="preserve"> </v>
      </c>
      <c r="H25" s="1201"/>
      <c r="I25">
        <f t="shared" si="0"/>
        <v>0</v>
      </c>
      <c r="K25">
        <f t="shared" si="1"/>
        <v>0</v>
      </c>
      <c r="L25" s="1213"/>
      <c r="N25" s="1214" t="str">
        <f t="shared" si="4"/>
        <v xml:space="preserve"> </v>
      </c>
      <c r="O25" s="1215" t="str">
        <f t="shared" si="5"/>
        <v xml:space="preserve"> </v>
      </c>
      <c r="Q25">
        <f t="shared" si="6"/>
        <v>0</v>
      </c>
      <c r="R25">
        <f t="shared" si="7"/>
        <v>0</v>
      </c>
    </row>
    <row r="26" spans="2:18" x14ac:dyDescent="0.2">
      <c r="B26" s="1209"/>
      <c r="C26" s="1210"/>
      <c r="D26" s="939"/>
      <c r="E26" s="1211" t="str">
        <f t="shared" si="2"/>
        <v xml:space="preserve"> </v>
      </c>
      <c r="G26" s="1212" t="str">
        <f t="shared" si="3"/>
        <v xml:space="preserve"> </v>
      </c>
      <c r="H26" s="1201"/>
      <c r="I26">
        <f t="shared" si="0"/>
        <v>0</v>
      </c>
      <c r="K26">
        <f t="shared" si="1"/>
        <v>0</v>
      </c>
      <c r="L26" s="1213"/>
      <c r="N26" s="1214" t="str">
        <f t="shared" si="4"/>
        <v xml:space="preserve"> </v>
      </c>
      <c r="O26" s="1215" t="str">
        <f t="shared" si="5"/>
        <v xml:space="preserve"> </v>
      </c>
      <c r="Q26">
        <f t="shared" si="6"/>
        <v>0</v>
      </c>
      <c r="R26">
        <f t="shared" si="7"/>
        <v>0</v>
      </c>
    </row>
    <row r="27" spans="2:18" x14ac:dyDescent="0.2">
      <c r="B27" s="1209"/>
      <c r="C27" s="1210"/>
      <c r="D27" s="939"/>
      <c r="E27" s="1211" t="str">
        <f t="shared" si="2"/>
        <v xml:space="preserve"> </v>
      </c>
      <c r="G27" s="1212" t="str">
        <f t="shared" si="3"/>
        <v xml:space="preserve"> </v>
      </c>
      <c r="H27" s="1201"/>
      <c r="I27">
        <f t="shared" si="0"/>
        <v>0</v>
      </c>
      <c r="K27">
        <f t="shared" si="1"/>
        <v>0</v>
      </c>
      <c r="L27" s="1213"/>
      <c r="N27" s="1214" t="str">
        <f t="shared" si="4"/>
        <v xml:space="preserve"> </v>
      </c>
      <c r="O27" s="1215" t="str">
        <f t="shared" si="5"/>
        <v xml:space="preserve"> </v>
      </c>
      <c r="Q27">
        <f t="shared" si="6"/>
        <v>0</v>
      </c>
      <c r="R27">
        <f t="shared" si="7"/>
        <v>0</v>
      </c>
    </row>
    <row r="28" spans="2:18" x14ac:dyDescent="0.2">
      <c r="B28" s="1209"/>
      <c r="C28" s="1210"/>
      <c r="D28" s="939"/>
      <c r="E28" s="1211" t="str">
        <f t="shared" si="2"/>
        <v xml:space="preserve"> </v>
      </c>
      <c r="G28" s="1212" t="str">
        <f t="shared" si="3"/>
        <v xml:space="preserve"> </v>
      </c>
      <c r="H28" s="1201"/>
      <c r="I28">
        <f t="shared" si="0"/>
        <v>0</v>
      </c>
      <c r="K28">
        <f t="shared" si="1"/>
        <v>0</v>
      </c>
      <c r="L28" s="1213"/>
      <c r="N28" s="1214" t="str">
        <f t="shared" si="4"/>
        <v xml:space="preserve"> </v>
      </c>
      <c r="O28" s="1215" t="str">
        <f t="shared" si="5"/>
        <v xml:space="preserve"> </v>
      </c>
      <c r="Q28">
        <f t="shared" si="6"/>
        <v>0</v>
      </c>
      <c r="R28">
        <f t="shared" si="7"/>
        <v>0</v>
      </c>
    </row>
    <row r="29" spans="2:18" x14ac:dyDescent="0.2">
      <c r="B29" s="1209"/>
      <c r="C29" s="1210"/>
      <c r="D29" s="939"/>
      <c r="E29" s="1211" t="str">
        <f t="shared" si="2"/>
        <v xml:space="preserve"> </v>
      </c>
      <c r="G29" s="1212" t="str">
        <f t="shared" si="3"/>
        <v xml:space="preserve"> </v>
      </c>
      <c r="H29" s="1201"/>
      <c r="I29">
        <f t="shared" si="0"/>
        <v>0</v>
      </c>
      <c r="K29">
        <f t="shared" si="1"/>
        <v>0</v>
      </c>
      <c r="L29" s="1213"/>
      <c r="N29" s="1214" t="str">
        <f t="shared" si="4"/>
        <v xml:space="preserve"> </v>
      </c>
      <c r="O29" s="1215" t="str">
        <f t="shared" si="5"/>
        <v xml:space="preserve"> </v>
      </c>
      <c r="Q29">
        <f t="shared" si="6"/>
        <v>0</v>
      </c>
      <c r="R29">
        <f t="shared" si="7"/>
        <v>0</v>
      </c>
    </row>
    <row r="30" spans="2:18" x14ac:dyDescent="0.2">
      <c r="B30" s="1209"/>
      <c r="C30" s="1210"/>
      <c r="D30" s="939"/>
      <c r="E30" s="1211" t="str">
        <f t="shared" si="2"/>
        <v xml:space="preserve"> </v>
      </c>
      <c r="G30" s="1212" t="str">
        <f t="shared" si="3"/>
        <v xml:space="preserve"> </v>
      </c>
      <c r="H30" s="1201"/>
      <c r="I30">
        <f t="shared" si="0"/>
        <v>0</v>
      </c>
      <c r="K30">
        <f t="shared" si="1"/>
        <v>0</v>
      </c>
      <c r="L30" s="1213"/>
      <c r="N30" s="1214" t="str">
        <f t="shared" si="4"/>
        <v xml:space="preserve"> </v>
      </c>
      <c r="O30" s="1215" t="str">
        <f t="shared" si="5"/>
        <v xml:space="preserve"> </v>
      </c>
      <c r="Q30">
        <f t="shared" si="6"/>
        <v>0</v>
      </c>
      <c r="R30">
        <f t="shared" si="7"/>
        <v>0</v>
      </c>
    </row>
    <row r="31" spans="2:18" x14ac:dyDescent="0.2">
      <c r="B31" s="1209"/>
      <c r="C31" s="1210"/>
      <c r="D31" s="939"/>
      <c r="E31" s="1211" t="str">
        <f t="shared" si="2"/>
        <v xml:space="preserve"> </v>
      </c>
      <c r="G31" s="1212" t="str">
        <f t="shared" si="3"/>
        <v xml:space="preserve"> </v>
      </c>
      <c r="H31" s="1201"/>
      <c r="I31">
        <f t="shared" si="0"/>
        <v>0</v>
      </c>
      <c r="K31">
        <f t="shared" si="1"/>
        <v>0</v>
      </c>
      <c r="L31" s="1213"/>
      <c r="N31" s="1214" t="str">
        <f t="shared" si="4"/>
        <v xml:space="preserve"> </v>
      </c>
      <c r="O31" s="1215" t="str">
        <f t="shared" si="5"/>
        <v xml:space="preserve"> </v>
      </c>
      <c r="Q31">
        <f t="shared" si="6"/>
        <v>0</v>
      </c>
      <c r="R31">
        <f t="shared" si="7"/>
        <v>0</v>
      </c>
    </row>
    <row r="32" spans="2:18" x14ac:dyDescent="0.2">
      <c r="B32" s="1209"/>
      <c r="C32" s="1210"/>
      <c r="D32" s="939"/>
      <c r="E32" s="1211" t="str">
        <f t="shared" si="2"/>
        <v xml:space="preserve"> </v>
      </c>
      <c r="G32" s="1212" t="str">
        <f t="shared" si="3"/>
        <v xml:space="preserve"> </v>
      </c>
      <c r="H32" s="1201"/>
      <c r="I32">
        <f t="shared" si="0"/>
        <v>0</v>
      </c>
      <c r="K32">
        <f t="shared" si="1"/>
        <v>0</v>
      </c>
      <c r="L32" s="1213"/>
      <c r="N32" s="1214" t="str">
        <f t="shared" si="4"/>
        <v xml:space="preserve"> </v>
      </c>
      <c r="O32" s="1215" t="str">
        <f t="shared" si="5"/>
        <v xml:space="preserve"> </v>
      </c>
      <c r="Q32">
        <f t="shared" si="6"/>
        <v>0</v>
      </c>
      <c r="R32">
        <f t="shared" si="7"/>
        <v>0</v>
      </c>
    </row>
    <row r="33" spans="2:18" x14ac:dyDescent="0.2">
      <c r="B33" s="1209"/>
      <c r="C33" s="1210"/>
      <c r="D33" s="939"/>
      <c r="E33" s="1211" t="str">
        <f t="shared" si="2"/>
        <v xml:space="preserve"> </v>
      </c>
      <c r="G33" s="1212" t="str">
        <f t="shared" si="3"/>
        <v xml:space="preserve"> </v>
      </c>
      <c r="H33" s="1201"/>
      <c r="I33">
        <f t="shared" si="0"/>
        <v>0</v>
      </c>
      <c r="K33">
        <f t="shared" si="1"/>
        <v>0</v>
      </c>
      <c r="L33" s="1213"/>
      <c r="N33" s="1214" t="str">
        <f t="shared" si="4"/>
        <v xml:space="preserve"> </v>
      </c>
      <c r="O33" s="1215" t="str">
        <f t="shared" si="5"/>
        <v xml:space="preserve"> </v>
      </c>
      <c r="Q33">
        <f t="shared" si="6"/>
        <v>0</v>
      </c>
      <c r="R33">
        <f t="shared" si="7"/>
        <v>0</v>
      </c>
    </row>
    <row r="34" spans="2:18" x14ac:dyDescent="0.2">
      <c r="B34" s="1209"/>
      <c r="C34" s="1210"/>
      <c r="D34" s="939"/>
      <c r="E34" s="1211" t="str">
        <f t="shared" si="2"/>
        <v xml:space="preserve"> </v>
      </c>
      <c r="G34" s="1212" t="str">
        <f t="shared" si="3"/>
        <v xml:space="preserve"> </v>
      </c>
      <c r="H34" s="1201"/>
      <c r="I34">
        <f t="shared" si="0"/>
        <v>0</v>
      </c>
      <c r="K34">
        <f t="shared" si="1"/>
        <v>0</v>
      </c>
      <c r="L34" s="1213"/>
      <c r="N34" s="1214" t="str">
        <f t="shared" si="4"/>
        <v xml:space="preserve"> </v>
      </c>
      <c r="O34" s="1215" t="str">
        <f t="shared" si="5"/>
        <v xml:space="preserve"> </v>
      </c>
      <c r="Q34">
        <f t="shared" si="6"/>
        <v>0</v>
      </c>
      <c r="R34">
        <f t="shared" si="7"/>
        <v>0</v>
      </c>
    </row>
    <row r="35" spans="2:18" x14ac:dyDescent="0.2">
      <c r="B35" s="1209"/>
      <c r="C35" s="1210"/>
      <c r="D35" s="939"/>
      <c r="E35" s="1211" t="str">
        <f t="shared" si="2"/>
        <v xml:space="preserve"> </v>
      </c>
      <c r="G35" s="1212" t="str">
        <f t="shared" si="3"/>
        <v xml:space="preserve"> </v>
      </c>
      <c r="H35" s="1201"/>
      <c r="I35">
        <f t="shared" si="0"/>
        <v>0</v>
      </c>
      <c r="K35">
        <f t="shared" si="1"/>
        <v>0</v>
      </c>
      <c r="L35" s="1213"/>
      <c r="N35" s="1214" t="str">
        <f t="shared" si="4"/>
        <v xml:space="preserve"> </v>
      </c>
      <c r="O35" s="1215" t="str">
        <f t="shared" si="5"/>
        <v xml:space="preserve"> </v>
      </c>
      <c r="Q35">
        <f t="shared" si="6"/>
        <v>0</v>
      </c>
      <c r="R35">
        <f t="shared" si="7"/>
        <v>0</v>
      </c>
    </row>
    <row r="36" spans="2:18" x14ac:dyDescent="0.2">
      <c r="B36" s="1209"/>
      <c r="C36" s="1210"/>
      <c r="D36" s="939"/>
      <c r="E36" s="1211" t="str">
        <f t="shared" si="2"/>
        <v xml:space="preserve"> </v>
      </c>
      <c r="G36" s="1212" t="str">
        <f t="shared" si="3"/>
        <v xml:space="preserve"> </v>
      </c>
      <c r="H36" s="1201"/>
      <c r="I36">
        <f t="shared" si="0"/>
        <v>0</v>
      </c>
      <c r="K36">
        <f t="shared" si="1"/>
        <v>0</v>
      </c>
      <c r="L36" s="1213"/>
      <c r="N36" s="1214" t="str">
        <f t="shared" si="4"/>
        <v xml:space="preserve"> </v>
      </c>
      <c r="O36" s="1215" t="str">
        <f t="shared" si="5"/>
        <v xml:space="preserve"> </v>
      </c>
      <c r="Q36">
        <f t="shared" si="6"/>
        <v>0</v>
      </c>
      <c r="R36">
        <f t="shared" si="7"/>
        <v>0</v>
      </c>
    </row>
    <row r="37" spans="2:18" x14ac:dyDescent="0.2">
      <c r="B37" s="1209"/>
      <c r="C37" s="1210"/>
      <c r="D37" s="939"/>
      <c r="E37" s="1211" t="str">
        <f t="shared" si="2"/>
        <v xml:space="preserve"> </v>
      </c>
      <c r="G37" s="1212" t="str">
        <f t="shared" si="3"/>
        <v xml:space="preserve"> </v>
      </c>
      <c r="H37" s="1201"/>
      <c r="I37">
        <f t="shared" si="0"/>
        <v>0</v>
      </c>
      <c r="K37">
        <f t="shared" si="1"/>
        <v>0</v>
      </c>
      <c r="L37" s="1213"/>
      <c r="N37" s="1214" t="str">
        <f t="shared" si="4"/>
        <v xml:space="preserve"> </v>
      </c>
      <c r="O37" s="1215" t="str">
        <f t="shared" si="5"/>
        <v xml:space="preserve"> </v>
      </c>
      <c r="Q37">
        <f t="shared" si="6"/>
        <v>0</v>
      </c>
      <c r="R37">
        <f t="shared" si="7"/>
        <v>0</v>
      </c>
    </row>
    <row r="38" spans="2:18" x14ac:dyDescent="0.2">
      <c r="B38" s="1209"/>
      <c r="C38" s="1210"/>
      <c r="D38" s="939"/>
      <c r="E38" s="1211" t="str">
        <f t="shared" si="2"/>
        <v xml:space="preserve"> </v>
      </c>
      <c r="G38" s="1212" t="str">
        <f t="shared" si="3"/>
        <v xml:space="preserve"> </v>
      </c>
      <c r="H38" s="1201"/>
      <c r="I38">
        <f t="shared" si="0"/>
        <v>0</v>
      </c>
      <c r="K38">
        <f t="shared" si="1"/>
        <v>0</v>
      </c>
      <c r="L38" s="1213"/>
      <c r="N38" s="1214" t="str">
        <f t="shared" si="4"/>
        <v xml:space="preserve"> </v>
      </c>
      <c r="O38" s="1215" t="str">
        <f t="shared" si="5"/>
        <v xml:space="preserve"> </v>
      </c>
      <c r="Q38">
        <f t="shared" si="6"/>
        <v>0</v>
      </c>
      <c r="R38">
        <f t="shared" si="7"/>
        <v>0</v>
      </c>
    </row>
    <row r="39" spans="2:18" x14ac:dyDescent="0.2">
      <c r="B39" s="1209"/>
      <c r="C39" s="1210"/>
      <c r="D39" s="939"/>
      <c r="E39" s="1211" t="str">
        <f t="shared" si="2"/>
        <v xml:space="preserve"> </v>
      </c>
      <c r="G39" s="1212" t="str">
        <f t="shared" si="3"/>
        <v xml:space="preserve"> </v>
      </c>
      <c r="H39" s="1201"/>
      <c r="I39">
        <f t="shared" si="0"/>
        <v>0</v>
      </c>
      <c r="K39">
        <f t="shared" si="1"/>
        <v>0</v>
      </c>
      <c r="L39" s="1213"/>
      <c r="N39" s="1214" t="str">
        <f t="shared" si="4"/>
        <v xml:space="preserve"> </v>
      </c>
      <c r="O39" s="1215" t="str">
        <f t="shared" si="5"/>
        <v xml:space="preserve"> </v>
      </c>
      <c r="Q39">
        <f t="shared" si="6"/>
        <v>0</v>
      </c>
      <c r="R39">
        <f t="shared" si="7"/>
        <v>0</v>
      </c>
    </row>
    <row r="40" spans="2:18" x14ac:dyDescent="0.2">
      <c r="B40" s="1209"/>
      <c r="C40" s="1210"/>
      <c r="D40" s="939"/>
      <c r="E40" s="1211" t="str">
        <f t="shared" si="2"/>
        <v xml:space="preserve"> </v>
      </c>
      <c r="G40" s="1212" t="str">
        <f t="shared" si="3"/>
        <v xml:space="preserve"> </v>
      </c>
      <c r="H40" s="1201"/>
      <c r="I40">
        <f t="shared" si="0"/>
        <v>0</v>
      </c>
      <c r="K40">
        <f t="shared" si="1"/>
        <v>0</v>
      </c>
      <c r="L40" s="1213"/>
      <c r="N40" s="1214" t="str">
        <f t="shared" si="4"/>
        <v xml:space="preserve"> </v>
      </c>
      <c r="O40" s="1215" t="str">
        <f t="shared" si="5"/>
        <v xml:space="preserve"> </v>
      </c>
      <c r="Q40">
        <f t="shared" si="6"/>
        <v>0</v>
      </c>
      <c r="R40">
        <f t="shared" si="7"/>
        <v>0</v>
      </c>
    </row>
    <row r="41" spans="2:18" x14ac:dyDescent="0.2">
      <c r="B41" s="1209"/>
      <c r="C41" s="1210"/>
      <c r="D41" s="939"/>
      <c r="E41" s="1211" t="str">
        <f t="shared" si="2"/>
        <v xml:space="preserve"> </v>
      </c>
      <c r="G41" s="1212" t="str">
        <f t="shared" si="3"/>
        <v xml:space="preserve"> </v>
      </c>
      <c r="H41" s="1201"/>
      <c r="I41">
        <f t="shared" si="0"/>
        <v>0</v>
      </c>
      <c r="K41">
        <f t="shared" si="1"/>
        <v>0</v>
      </c>
      <c r="L41" s="1213"/>
      <c r="N41" s="1214" t="str">
        <f t="shared" si="4"/>
        <v xml:space="preserve"> </v>
      </c>
      <c r="O41" s="1215" t="str">
        <f t="shared" si="5"/>
        <v xml:space="preserve"> </v>
      </c>
      <c r="Q41">
        <f t="shared" si="6"/>
        <v>0</v>
      </c>
      <c r="R41">
        <f t="shared" si="7"/>
        <v>0</v>
      </c>
    </row>
    <row r="42" spans="2:18" x14ac:dyDescent="0.2">
      <c r="B42" s="1209"/>
      <c r="C42" s="1210"/>
      <c r="D42" s="939"/>
      <c r="E42" s="1211" t="str">
        <f t="shared" si="2"/>
        <v xml:space="preserve"> </v>
      </c>
      <c r="G42" s="1212" t="str">
        <f t="shared" si="3"/>
        <v xml:space="preserve"> </v>
      </c>
      <c r="H42" s="1201"/>
      <c r="I42">
        <f t="shared" si="0"/>
        <v>0</v>
      </c>
      <c r="K42">
        <f t="shared" si="1"/>
        <v>0</v>
      </c>
      <c r="L42" s="1213"/>
      <c r="N42" s="1214" t="str">
        <f t="shared" si="4"/>
        <v xml:space="preserve"> </v>
      </c>
      <c r="O42" s="1215" t="str">
        <f t="shared" si="5"/>
        <v xml:space="preserve"> </v>
      </c>
      <c r="Q42">
        <f t="shared" si="6"/>
        <v>0</v>
      </c>
      <c r="R42">
        <f t="shared" si="7"/>
        <v>0</v>
      </c>
    </row>
    <row r="43" spans="2:18" x14ac:dyDescent="0.2">
      <c r="B43" s="1209"/>
      <c r="C43" s="1210"/>
      <c r="D43" s="939"/>
      <c r="E43" s="1211" t="str">
        <f t="shared" si="2"/>
        <v xml:space="preserve"> </v>
      </c>
      <c r="G43" s="1212" t="str">
        <f t="shared" si="3"/>
        <v xml:space="preserve"> </v>
      </c>
      <c r="H43" s="1201"/>
      <c r="I43">
        <f t="shared" si="0"/>
        <v>0</v>
      </c>
      <c r="K43">
        <f t="shared" si="1"/>
        <v>0</v>
      </c>
      <c r="L43" s="1213"/>
      <c r="N43" s="1214" t="str">
        <f t="shared" si="4"/>
        <v xml:space="preserve"> </v>
      </c>
      <c r="O43" s="1215" t="str">
        <f t="shared" si="5"/>
        <v xml:space="preserve"> </v>
      </c>
      <c r="Q43">
        <f t="shared" si="6"/>
        <v>0</v>
      </c>
      <c r="R43">
        <f t="shared" si="7"/>
        <v>0</v>
      </c>
    </row>
    <row r="44" spans="2:18" x14ac:dyDescent="0.2">
      <c r="B44" s="1209"/>
      <c r="C44" s="1210"/>
      <c r="D44" s="939"/>
      <c r="E44" s="1211" t="str">
        <f t="shared" si="2"/>
        <v xml:space="preserve"> </v>
      </c>
      <c r="G44" s="1212" t="str">
        <f t="shared" si="3"/>
        <v xml:space="preserve"> </v>
      </c>
      <c r="H44" s="1201"/>
      <c r="I44">
        <f t="shared" si="0"/>
        <v>0</v>
      </c>
      <c r="K44">
        <f t="shared" si="1"/>
        <v>0</v>
      </c>
      <c r="L44" s="1213"/>
      <c r="N44" s="1214" t="str">
        <f t="shared" si="4"/>
        <v xml:space="preserve"> </v>
      </c>
      <c r="O44" s="1215" t="str">
        <f t="shared" si="5"/>
        <v xml:space="preserve"> </v>
      </c>
      <c r="Q44">
        <f t="shared" si="6"/>
        <v>0</v>
      </c>
      <c r="R44">
        <f t="shared" si="7"/>
        <v>0</v>
      </c>
    </row>
    <row r="45" spans="2:18" x14ac:dyDescent="0.2">
      <c r="B45" s="1209"/>
      <c r="C45" s="1210"/>
      <c r="D45" s="939"/>
      <c r="E45" s="1211" t="str">
        <f t="shared" si="2"/>
        <v xml:space="preserve"> </v>
      </c>
      <c r="G45" s="1212" t="str">
        <f t="shared" si="3"/>
        <v xml:space="preserve"> </v>
      </c>
      <c r="H45" s="1201"/>
      <c r="I45">
        <f t="shared" si="0"/>
        <v>0</v>
      </c>
      <c r="K45">
        <f t="shared" si="1"/>
        <v>0</v>
      </c>
      <c r="L45" s="1213"/>
      <c r="N45" s="1214" t="str">
        <f t="shared" si="4"/>
        <v xml:space="preserve"> </v>
      </c>
      <c r="O45" s="1215" t="str">
        <f t="shared" si="5"/>
        <v xml:space="preserve"> </v>
      </c>
      <c r="Q45">
        <f t="shared" si="6"/>
        <v>0</v>
      </c>
      <c r="R45">
        <f t="shared" si="7"/>
        <v>0</v>
      </c>
    </row>
    <row r="46" spans="2:18" x14ac:dyDescent="0.2">
      <c r="B46" s="1209"/>
      <c r="C46" s="1210"/>
      <c r="D46" s="939"/>
      <c r="E46" s="1211" t="str">
        <f t="shared" si="2"/>
        <v xml:space="preserve"> </v>
      </c>
      <c r="G46" s="1212" t="str">
        <f t="shared" si="3"/>
        <v xml:space="preserve"> </v>
      </c>
      <c r="H46" s="1201"/>
      <c r="I46">
        <f t="shared" si="0"/>
        <v>0</v>
      </c>
      <c r="K46">
        <f t="shared" si="1"/>
        <v>0</v>
      </c>
      <c r="L46" s="1213"/>
      <c r="N46" s="1214" t="str">
        <f t="shared" si="4"/>
        <v xml:space="preserve"> </v>
      </c>
      <c r="O46" s="1215" t="str">
        <f t="shared" si="5"/>
        <v xml:space="preserve"> </v>
      </c>
      <c r="Q46">
        <f t="shared" si="6"/>
        <v>0</v>
      </c>
      <c r="R46">
        <f t="shared" si="7"/>
        <v>0</v>
      </c>
    </row>
    <row r="47" spans="2:18" x14ac:dyDescent="0.2">
      <c r="B47" s="1209"/>
      <c r="C47" s="1210"/>
      <c r="D47" s="939"/>
      <c r="E47" s="1211" t="str">
        <f t="shared" si="2"/>
        <v xml:space="preserve"> </v>
      </c>
      <c r="G47" s="1212" t="str">
        <f t="shared" si="3"/>
        <v xml:space="preserve"> </v>
      </c>
      <c r="H47" s="1201"/>
      <c r="I47">
        <f t="shared" si="0"/>
        <v>0</v>
      </c>
      <c r="K47">
        <f t="shared" si="1"/>
        <v>0</v>
      </c>
      <c r="L47" s="1213"/>
      <c r="N47" s="1214" t="str">
        <f t="shared" si="4"/>
        <v xml:space="preserve"> </v>
      </c>
      <c r="O47" s="1215" t="str">
        <f t="shared" si="5"/>
        <v xml:space="preserve"> </v>
      </c>
      <c r="Q47">
        <f t="shared" si="6"/>
        <v>0</v>
      </c>
      <c r="R47">
        <f t="shared" si="7"/>
        <v>0</v>
      </c>
    </row>
    <row r="48" spans="2:18" x14ac:dyDescent="0.2">
      <c r="B48" s="1209"/>
      <c r="C48" s="1210"/>
      <c r="D48" s="939"/>
      <c r="E48" s="1211" t="str">
        <f t="shared" si="2"/>
        <v xml:space="preserve"> </v>
      </c>
      <c r="G48" s="1212" t="str">
        <f t="shared" si="3"/>
        <v xml:space="preserve"> </v>
      </c>
      <c r="H48" s="1201"/>
      <c r="I48">
        <f t="shared" si="0"/>
        <v>0</v>
      </c>
      <c r="K48">
        <f t="shared" si="1"/>
        <v>0</v>
      </c>
      <c r="L48" s="1213"/>
      <c r="N48" s="1214" t="str">
        <f t="shared" si="4"/>
        <v xml:space="preserve"> </v>
      </c>
      <c r="O48" s="1215" t="str">
        <f t="shared" si="5"/>
        <v xml:space="preserve"> </v>
      </c>
      <c r="Q48">
        <f t="shared" si="6"/>
        <v>0</v>
      </c>
      <c r="R48">
        <f t="shared" si="7"/>
        <v>0</v>
      </c>
    </row>
    <row r="49" spans="2:18" x14ac:dyDescent="0.2">
      <c r="B49" s="1209"/>
      <c r="C49" s="1210"/>
      <c r="D49" s="939"/>
      <c r="E49" s="1211" t="str">
        <f t="shared" si="2"/>
        <v xml:space="preserve"> </v>
      </c>
      <c r="G49" s="1212" t="str">
        <f t="shared" si="3"/>
        <v xml:space="preserve"> </v>
      </c>
      <c r="H49" s="1201"/>
      <c r="I49">
        <f t="shared" si="0"/>
        <v>0</v>
      </c>
      <c r="K49">
        <f t="shared" si="1"/>
        <v>0</v>
      </c>
      <c r="L49" s="1213"/>
      <c r="N49" s="1214" t="str">
        <f t="shared" si="4"/>
        <v xml:space="preserve"> </v>
      </c>
      <c r="O49" s="1215" t="str">
        <f t="shared" si="5"/>
        <v xml:space="preserve"> </v>
      </c>
      <c r="Q49">
        <f t="shared" si="6"/>
        <v>0</v>
      </c>
      <c r="R49">
        <f t="shared" si="7"/>
        <v>0</v>
      </c>
    </row>
    <row r="50" spans="2:18" x14ac:dyDescent="0.2">
      <c r="B50" s="1209"/>
      <c r="C50" s="1210"/>
      <c r="D50" s="939"/>
      <c r="E50" s="1211" t="str">
        <f t="shared" si="2"/>
        <v xml:space="preserve"> </v>
      </c>
      <c r="G50" s="1212" t="str">
        <f t="shared" si="3"/>
        <v xml:space="preserve"> </v>
      </c>
      <c r="H50" s="1201"/>
      <c r="I50">
        <f t="shared" si="0"/>
        <v>0</v>
      </c>
      <c r="K50">
        <f t="shared" si="1"/>
        <v>0</v>
      </c>
      <c r="L50" s="1213"/>
      <c r="N50" s="1214" t="str">
        <f t="shared" si="4"/>
        <v xml:space="preserve"> </v>
      </c>
      <c r="O50" s="1215" t="str">
        <f t="shared" si="5"/>
        <v xml:space="preserve"> </v>
      </c>
      <c r="Q50">
        <f t="shared" si="6"/>
        <v>0</v>
      </c>
      <c r="R50">
        <f t="shared" si="7"/>
        <v>0</v>
      </c>
    </row>
    <row r="51" spans="2:18" x14ac:dyDescent="0.2">
      <c r="B51" s="1209"/>
      <c r="C51" s="1210"/>
      <c r="D51" s="939"/>
      <c r="E51" s="1211" t="str">
        <f t="shared" si="2"/>
        <v xml:space="preserve"> </v>
      </c>
      <c r="G51" s="1212" t="str">
        <f t="shared" si="3"/>
        <v xml:space="preserve"> </v>
      </c>
      <c r="H51" s="1201"/>
      <c r="I51">
        <f t="shared" si="0"/>
        <v>0</v>
      </c>
      <c r="K51">
        <f t="shared" si="1"/>
        <v>0</v>
      </c>
      <c r="L51" s="1213"/>
      <c r="N51" s="1214" t="str">
        <f t="shared" si="4"/>
        <v xml:space="preserve"> </v>
      </c>
      <c r="O51" s="1215" t="str">
        <f t="shared" si="5"/>
        <v xml:space="preserve"> </v>
      </c>
      <c r="Q51">
        <f t="shared" si="6"/>
        <v>0</v>
      </c>
      <c r="R51">
        <f t="shared" si="7"/>
        <v>0</v>
      </c>
    </row>
    <row r="52" spans="2:18" x14ac:dyDescent="0.2">
      <c r="B52" s="1209"/>
      <c r="C52" s="1210"/>
      <c r="D52" s="939"/>
      <c r="E52" s="1211" t="str">
        <f t="shared" si="2"/>
        <v xml:space="preserve"> </v>
      </c>
      <c r="G52" s="1212" t="str">
        <f t="shared" si="3"/>
        <v xml:space="preserve"> </v>
      </c>
      <c r="H52" s="1201"/>
      <c r="I52">
        <f t="shared" si="0"/>
        <v>0</v>
      </c>
      <c r="K52">
        <f t="shared" si="1"/>
        <v>0</v>
      </c>
      <c r="L52" s="1213"/>
      <c r="N52" s="1214" t="str">
        <f t="shared" si="4"/>
        <v xml:space="preserve"> </v>
      </c>
      <c r="O52" s="1215" t="str">
        <f t="shared" si="5"/>
        <v xml:space="preserve"> </v>
      </c>
      <c r="Q52">
        <f t="shared" si="6"/>
        <v>0</v>
      </c>
      <c r="R52">
        <f t="shared" si="7"/>
        <v>0</v>
      </c>
    </row>
    <row r="53" spans="2:18" x14ac:dyDescent="0.2">
      <c r="B53" s="1209"/>
      <c r="C53" s="1210"/>
      <c r="D53" s="939"/>
      <c r="E53" s="1211" t="str">
        <f t="shared" si="2"/>
        <v xml:space="preserve"> </v>
      </c>
      <c r="G53" s="1212" t="str">
        <f t="shared" si="3"/>
        <v xml:space="preserve"> </v>
      </c>
      <c r="H53" s="1201"/>
      <c r="I53">
        <f t="shared" si="0"/>
        <v>0</v>
      </c>
      <c r="K53">
        <f t="shared" si="1"/>
        <v>0</v>
      </c>
      <c r="L53" s="1213"/>
      <c r="N53" s="1214" t="str">
        <f t="shared" si="4"/>
        <v xml:space="preserve"> </v>
      </c>
      <c r="O53" s="1215" t="str">
        <f t="shared" si="5"/>
        <v xml:space="preserve"> </v>
      </c>
      <c r="Q53">
        <f t="shared" si="6"/>
        <v>0</v>
      </c>
      <c r="R53">
        <f t="shared" si="7"/>
        <v>0</v>
      </c>
    </row>
    <row r="54" spans="2:18" x14ac:dyDescent="0.2">
      <c r="B54" s="1209"/>
      <c r="C54" s="1210"/>
      <c r="D54" s="939"/>
      <c r="E54" s="1211" t="str">
        <f t="shared" si="2"/>
        <v xml:space="preserve"> </v>
      </c>
      <c r="G54" s="1212" t="str">
        <f t="shared" si="3"/>
        <v xml:space="preserve"> </v>
      </c>
      <c r="H54" s="1201"/>
      <c r="I54">
        <f t="shared" si="0"/>
        <v>0</v>
      </c>
      <c r="K54">
        <f t="shared" si="1"/>
        <v>0</v>
      </c>
      <c r="L54" s="1213"/>
      <c r="N54" s="1214" t="str">
        <f t="shared" si="4"/>
        <v xml:space="preserve"> </v>
      </c>
      <c r="O54" s="1215" t="str">
        <f t="shared" si="5"/>
        <v xml:space="preserve"> </v>
      </c>
      <c r="Q54">
        <f t="shared" si="6"/>
        <v>0</v>
      </c>
      <c r="R54">
        <f t="shared" si="7"/>
        <v>0</v>
      </c>
    </row>
    <row r="55" spans="2:18" x14ac:dyDescent="0.2">
      <c r="B55" s="1209"/>
      <c r="C55" s="1210"/>
      <c r="D55" s="939"/>
      <c r="E55" s="1211" t="str">
        <f t="shared" si="2"/>
        <v xml:space="preserve"> </v>
      </c>
      <c r="G55" s="1212" t="str">
        <f t="shared" si="3"/>
        <v xml:space="preserve"> </v>
      </c>
      <c r="H55" s="1201"/>
      <c r="I55">
        <f t="shared" si="0"/>
        <v>0</v>
      </c>
      <c r="K55">
        <f t="shared" si="1"/>
        <v>0</v>
      </c>
      <c r="L55" s="1213"/>
      <c r="N55" s="1214" t="str">
        <f t="shared" si="4"/>
        <v xml:space="preserve"> </v>
      </c>
      <c r="O55" s="1215" t="str">
        <f t="shared" si="5"/>
        <v xml:space="preserve"> </v>
      </c>
      <c r="Q55">
        <f t="shared" si="6"/>
        <v>0</v>
      </c>
      <c r="R55">
        <f t="shared" si="7"/>
        <v>0</v>
      </c>
    </row>
    <row r="56" spans="2:18" x14ac:dyDescent="0.2">
      <c r="B56" s="1209"/>
      <c r="C56" s="1210"/>
      <c r="D56" s="939"/>
      <c r="E56" s="1211" t="str">
        <f t="shared" si="2"/>
        <v xml:space="preserve"> </v>
      </c>
      <c r="G56" s="1212" t="str">
        <f t="shared" si="3"/>
        <v xml:space="preserve"> </v>
      </c>
      <c r="H56" s="1201"/>
      <c r="I56">
        <f t="shared" si="0"/>
        <v>0</v>
      </c>
      <c r="K56">
        <f t="shared" si="1"/>
        <v>0</v>
      </c>
      <c r="L56" s="1213"/>
      <c r="N56" s="1214" t="str">
        <f t="shared" si="4"/>
        <v xml:space="preserve"> </v>
      </c>
      <c r="O56" s="1215" t="str">
        <f t="shared" si="5"/>
        <v xml:space="preserve"> </v>
      </c>
      <c r="Q56">
        <f t="shared" si="6"/>
        <v>0</v>
      </c>
      <c r="R56">
        <f t="shared" si="7"/>
        <v>0</v>
      </c>
    </row>
    <row r="57" spans="2:18" x14ac:dyDescent="0.2">
      <c r="B57" s="1209"/>
      <c r="C57" s="1210"/>
      <c r="D57" s="939"/>
      <c r="E57" s="1211" t="str">
        <f t="shared" si="2"/>
        <v xml:space="preserve"> </v>
      </c>
      <c r="G57" s="1212" t="str">
        <f t="shared" si="3"/>
        <v xml:space="preserve"> </v>
      </c>
      <c r="H57" s="1201"/>
      <c r="I57">
        <f t="shared" si="0"/>
        <v>0</v>
      </c>
      <c r="K57">
        <f t="shared" si="1"/>
        <v>0</v>
      </c>
      <c r="L57" s="1213"/>
      <c r="N57" s="1214" t="str">
        <f t="shared" si="4"/>
        <v xml:space="preserve"> </v>
      </c>
      <c r="O57" s="1215" t="str">
        <f t="shared" si="5"/>
        <v xml:space="preserve"> </v>
      </c>
      <c r="Q57">
        <f t="shared" si="6"/>
        <v>0</v>
      </c>
      <c r="R57">
        <f t="shared" si="7"/>
        <v>0</v>
      </c>
    </row>
    <row r="58" spans="2:18" x14ac:dyDescent="0.2">
      <c r="B58" s="1209"/>
      <c r="C58" s="1210"/>
      <c r="D58" s="939"/>
      <c r="E58" s="1211" t="str">
        <f t="shared" si="2"/>
        <v xml:space="preserve"> </v>
      </c>
      <c r="G58" s="1212" t="str">
        <f t="shared" si="3"/>
        <v xml:space="preserve"> </v>
      </c>
      <c r="H58" s="1201"/>
      <c r="I58">
        <f t="shared" si="0"/>
        <v>0</v>
      </c>
      <c r="K58">
        <f t="shared" si="1"/>
        <v>0</v>
      </c>
      <c r="L58" s="1213"/>
      <c r="N58" s="1214" t="str">
        <f t="shared" si="4"/>
        <v xml:space="preserve"> </v>
      </c>
      <c r="O58" s="1215" t="str">
        <f t="shared" si="5"/>
        <v xml:space="preserve"> </v>
      </c>
      <c r="Q58">
        <f t="shared" si="6"/>
        <v>0</v>
      </c>
      <c r="R58">
        <f t="shared" si="7"/>
        <v>0</v>
      </c>
    </row>
    <row r="59" spans="2:18" x14ac:dyDescent="0.2">
      <c r="B59" s="1209"/>
      <c r="C59" s="1210"/>
      <c r="D59" s="939"/>
      <c r="E59" s="1211" t="str">
        <f t="shared" si="2"/>
        <v xml:space="preserve"> </v>
      </c>
      <c r="G59" s="1212" t="str">
        <f t="shared" si="3"/>
        <v xml:space="preserve"> </v>
      </c>
      <c r="H59" s="1201"/>
      <c r="I59">
        <f t="shared" si="0"/>
        <v>0</v>
      </c>
      <c r="K59">
        <f t="shared" si="1"/>
        <v>0</v>
      </c>
      <c r="L59" s="1213"/>
      <c r="N59" s="1214" t="str">
        <f t="shared" si="4"/>
        <v xml:space="preserve"> </v>
      </c>
      <c r="O59" s="1215" t="str">
        <f t="shared" si="5"/>
        <v xml:space="preserve"> </v>
      </c>
      <c r="Q59">
        <f t="shared" si="6"/>
        <v>0</v>
      </c>
      <c r="R59">
        <f t="shared" si="7"/>
        <v>0</v>
      </c>
    </row>
    <row r="60" spans="2:18" x14ac:dyDescent="0.2">
      <c r="B60" s="1209"/>
      <c r="C60" s="1210"/>
      <c r="D60" s="939"/>
      <c r="E60" s="1211" t="str">
        <f t="shared" si="2"/>
        <v xml:space="preserve"> </v>
      </c>
      <c r="G60" s="1212" t="str">
        <f t="shared" si="3"/>
        <v xml:space="preserve"> </v>
      </c>
      <c r="H60" s="1201"/>
      <c r="I60">
        <f t="shared" si="0"/>
        <v>0</v>
      </c>
      <c r="K60">
        <f t="shared" si="1"/>
        <v>0</v>
      </c>
      <c r="L60" s="1213"/>
      <c r="N60" s="1214" t="str">
        <f t="shared" si="4"/>
        <v xml:space="preserve"> </v>
      </c>
      <c r="O60" s="1215" t="str">
        <f t="shared" si="5"/>
        <v xml:space="preserve"> </v>
      </c>
      <c r="Q60">
        <f t="shared" si="6"/>
        <v>0</v>
      </c>
      <c r="R60">
        <f t="shared" si="7"/>
        <v>0</v>
      </c>
    </row>
    <row r="61" spans="2:18" x14ac:dyDescent="0.2">
      <c r="B61" s="1209"/>
      <c r="C61" s="1210"/>
      <c r="D61" s="939"/>
      <c r="E61" s="1211" t="str">
        <f t="shared" si="2"/>
        <v xml:space="preserve"> </v>
      </c>
      <c r="G61" s="1212" t="str">
        <f t="shared" si="3"/>
        <v xml:space="preserve"> </v>
      </c>
      <c r="H61" s="1201"/>
      <c r="I61">
        <f t="shared" si="0"/>
        <v>0</v>
      </c>
      <c r="K61">
        <f t="shared" si="1"/>
        <v>0</v>
      </c>
      <c r="L61" s="1213"/>
      <c r="N61" s="1214" t="str">
        <f t="shared" si="4"/>
        <v xml:space="preserve"> </v>
      </c>
      <c r="O61" s="1215" t="str">
        <f t="shared" si="5"/>
        <v xml:space="preserve"> </v>
      </c>
      <c r="Q61">
        <f t="shared" si="6"/>
        <v>0</v>
      </c>
      <c r="R61">
        <f t="shared" si="7"/>
        <v>0</v>
      </c>
    </row>
    <row r="62" spans="2:18" x14ac:dyDescent="0.2">
      <c r="B62" s="1209"/>
      <c r="C62" s="1210"/>
      <c r="D62" s="939"/>
      <c r="E62" s="1211" t="str">
        <f t="shared" si="2"/>
        <v xml:space="preserve"> </v>
      </c>
      <c r="G62" s="1212" t="str">
        <f t="shared" si="3"/>
        <v xml:space="preserve"> </v>
      </c>
      <c r="H62" s="1201"/>
      <c r="I62">
        <f t="shared" si="0"/>
        <v>0</v>
      </c>
      <c r="K62">
        <f t="shared" si="1"/>
        <v>0</v>
      </c>
      <c r="L62" s="1213"/>
      <c r="N62" s="1214" t="str">
        <f t="shared" si="4"/>
        <v xml:space="preserve"> </v>
      </c>
      <c r="O62" s="1215" t="str">
        <f t="shared" si="5"/>
        <v xml:space="preserve"> </v>
      </c>
      <c r="Q62">
        <f t="shared" si="6"/>
        <v>0</v>
      </c>
      <c r="R62">
        <f t="shared" si="7"/>
        <v>0</v>
      </c>
    </row>
    <row r="63" spans="2:18" x14ac:dyDescent="0.2">
      <c r="B63" s="1209"/>
      <c r="C63" s="1210"/>
      <c r="D63" s="939"/>
      <c r="E63" s="1211" t="str">
        <f t="shared" si="2"/>
        <v xml:space="preserve"> </v>
      </c>
      <c r="G63" s="1212" t="str">
        <f t="shared" si="3"/>
        <v xml:space="preserve"> </v>
      </c>
      <c r="H63" s="1201"/>
      <c r="I63">
        <f t="shared" si="0"/>
        <v>0</v>
      </c>
      <c r="K63">
        <f t="shared" si="1"/>
        <v>0</v>
      </c>
      <c r="L63" s="1213"/>
      <c r="N63" s="1214" t="str">
        <f t="shared" si="4"/>
        <v xml:space="preserve"> </v>
      </c>
      <c r="O63" s="1215" t="str">
        <f t="shared" si="5"/>
        <v xml:space="preserve"> </v>
      </c>
      <c r="Q63">
        <f t="shared" si="6"/>
        <v>0</v>
      </c>
      <c r="R63">
        <f t="shared" si="7"/>
        <v>0</v>
      </c>
    </row>
    <row r="64" spans="2:18" x14ac:dyDescent="0.2">
      <c r="B64" s="1209"/>
      <c r="C64" s="1210"/>
      <c r="D64" s="939"/>
      <c r="E64" s="1211" t="str">
        <f t="shared" si="2"/>
        <v xml:space="preserve"> </v>
      </c>
      <c r="G64" s="1212" t="str">
        <f t="shared" si="3"/>
        <v xml:space="preserve"> </v>
      </c>
      <c r="H64" s="1201"/>
      <c r="I64">
        <f t="shared" si="0"/>
        <v>0</v>
      </c>
      <c r="K64">
        <f t="shared" si="1"/>
        <v>0</v>
      </c>
      <c r="L64" s="1213"/>
      <c r="N64" s="1214" t="str">
        <f t="shared" si="4"/>
        <v xml:space="preserve"> </v>
      </c>
      <c r="O64" s="1215" t="str">
        <f t="shared" si="5"/>
        <v xml:space="preserve"> </v>
      </c>
      <c r="Q64">
        <f t="shared" si="6"/>
        <v>0</v>
      </c>
      <c r="R64">
        <f t="shared" si="7"/>
        <v>0</v>
      </c>
    </row>
    <row r="65" spans="2:18" x14ac:dyDescent="0.2">
      <c r="B65" s="1209"/>
      <c r="C65" s="1210"/>
      <c r="D65" s="939"/>
      <c r="E65" s="1211" t="str">
        <f t="shared" si="2"/>
        <v xml:space="preserve"> </v>
      </c>
      <c r="G65" s="1212" t="str">
        <f t="shared" si="3"/>
        <v xml:space="preserve"> </v>
      </c>
      <c r="H65" s="1201"/>
      <c r="I65">
        <f t="shared" si="0"/>
        <v>0</v>
      </c>
      <c r="K65">
        <f t="shared" si="1"/>
        <v>0</v>
      </c>
      <c r="L65" s="1213"/>
      <c r="N65" s="1214" t="str">
        <f t="shared" si="4"/>
        <v xml:space="preserve"> </v>
      </c>
      <c r="O65" s="1215" t="str">
        <f t="shared" si="5"/>
        <v xml:space="preserve"> </v>
      </c>
      <c r="Q65">
        <f t="shared" si="6"/>
        <v>0</v>
      </c>
      <c r="R65">
        <f t="shared" si="7"/>
        <v>0</v>
      </c>
    </row>
    <row r="66" spans="2:18" x14ac:dyDescent="0.2">
      <c r="B66" s="1209"/>
      <c r="C66" s="1210"/>
      <c r="D66" s="939"/>
      <c r="E66" s="1211" t="str">
        <f t="shared" si="2"/>
        <v xml:space="preserve"> </v>
      </c>
      <c r="G66" s="1212" t="str">
        <f t="shared" si="3"/>
        <v xml:space="preserve"> </v>
      </c>
      <c r="H66" s="1201"/>
      <c r="I66">
        <f t="shared" si="0"/>
        <v>0</v>
      </c>
      <c r="K66">
        <f t="shared" si="1"/>
        <v>0</v>
      </c>
      <c r="L66" s="1213"/>
      <c r="N66" s="1214" t="str">
        <f t="shared" si="4"/>
        <v xml:space="preserve"> </v>
      </c>
      <c r="O66" s="1215" t="str">
        <f t="shared" si="5"/>
        <v xml:space="preserve"> </v>
      </c>
      <c r="Q66">
        <f t="shared" si="6"/>
        <v>0</v>
      </c>
      <c r="R66">
        <f t="shared" si="7"/>
        <v>0</v>
      </c>
    </row>
    <row r="67" spans="2:18" x14ac:dyDescent="0.2">
      <c r="B67" s="1209"/>
      <c r="C67" s="1210"/>
      <c r="D67" s="939"/>
      <c r="E67" s="1211" t="str">
        <f t="shared" si="2"/>
        <v xml:space="preserve"> </v>
      </c>
      <c r="G67" s="1212" t="str">
        <f t="shared" si="3"/>
        <v xml:space="preserve"> </v>
      </c>
      <c r="H67" s="1201"/>
      <c r="I67">
        <f t="shared" si="0"/>
        <v>0</v>
      </c>
      <c r="K67">
        <f t="shared" si="1"/>
        <v>0</v>
      </c>
      <c r="L67" s="1213"/>
      <c r="N67" s="1214" t="str">
        <f t="shared" si="4"/>
        <v xml:space="preserve"> </v>
      </c>
      <c r="O67" s="1215" t="str">
        <f t="shared" si="5"/>
        <v xml:space="preserve"> </v>
      </c>
      <c r="Q67">
        <f t="shared" si="6"/>
        <v>0</v>
      </c>
      <c r="R67">
        <f t="shared" si="7"/>
        <v>0</v>
      </c>
    </row>
    <row r="68" spans="2:18" x14ac:dyDescent="0.2">
      <c r="B68" s="1209"/>
      <c r="C68" s="1210"/>
      <c r="D68" s="939"/>
      <c r="E68" s="1211" t="str">
        <f t="shared" si="2"/>
        <v xml:space="preserve"> </v>
      </c>
      <c r="G68" s="1212" t="str">
        <f t="shared" si="3"/>
        <v xml:space="preserve"> </v>
      </c>
      <c r="H68" s="1201"/>
      <c r="I68">
        <f t="shared" si="0"/>
        <v>0</v>
      </c>
      <c r="K68">
        <f t="shared" si="1"/>
        <v>0</v>
      </c>
      <c r="L68" s="1213"/>
      <c r="N68" s="1214" t="str">
        <f t="shared" si="4"/>
        <v xml:space="preserve"> </v>
      </c>
      <c r="O68" s="1215" t="str">
        <f t="shared" si="5"/>
        <v xml:space="preserve"> </v>
      </c>
      <c r="Q68">
        <f t="shared" si="6"/>
        <v>0</v>
      </c>
      <c r="R68">
        <f t="shared" si="7"/>
        <v>0</v>
      </c>
    </row>
    <row r="69" spans="2:18" x14ac:dyDescent="0.2">
      <c r="B69" s="1209"/>
      <c r="C69" s="1210"/>
      <c r="D69" s="939"/>
      <c r="E69" s="1211" t="str">
        <f t="shared" si="2"/>
        <v xml:space="preserve"> </v>
      </c>
      <c r="G69" s="1212" t="str">
        <f t="shared" si="3"/>
        <v xml:space="preserve"> </v>
      </c>
      <c r="H69" s="1201"/>
      <c r="I69">
        <f t="shared" si="0"/>
        <v>0</v>
      </c>
      <c r="K69">
        <f t="shared" si="1"/>
        <v>0</v>
      </c>
      <c r="L69" s="1213"/>
      <c r="N69" s="1214" t="str">
        <f t="shared" si="4"/>
        <v xml:space="preserve"> </v>
      </c>
      <c r="O69" s="1215" t="str">
        <f t="shared" si="5"/>
        <v xml:space="preserve"> </v>
      </c>
      <c r="Q69">
        <f t="shared" si="6"/>
        <v>0</v>
      </c>
      <c r="R69">
        <f t="shared" si="7"/>
        <v>0</v>
      </c>
    </row>
    <row r="70" spans="2:18" x14ac:dyDescent="0.2">
      <c r="B70" s="1209"/>
      <c r="C70" s="1210"/>
      <c r="D70" s="939"/>
      <c r="E70" s="1211" t="str">
        <f t="shared" si="2"/>
        <v xml:space="preserve"> </v>
      </c>
      <c r="G70" s="1212" t="str">
        <f t="shared" si="3"/>
        <v xml:space="preserve"> </v>
      </c>
      <c r="H70" s="1201"/>
      <c r="I70">
        <f t="shared" si="0"/>
        <v>0</v>
      </c>
      <c r="K70">
        <f t="shared" si="1"/>
        <v>0</v>
      </c>
      <c r="L70" s="1213"/>
      <c r="N70" s="1214" t="str">
        <f t="shared" si="4"/>
        <v xml:space="preserve"> </v>
      </c>
      <c r="O70" s="1215" t="str">
        <f t="shared" si="5"/>
        <v xml:space="preserve"> </v>
      </c>
      <c r="Q70">
        <f t="shared" si="6"/>
        <v>0</v>
      </c>
      <c r="R70">
        <f t="shared" si="7"/>
        <v>0</v>
      </c>
    </row>
    <row r="71" spans="2:18" x14ac:dyDescent="0.2">
      <c r="B71" s="1209"/>
      <c r="C71" s="1210"/>
      <c r="D71" s="939"/>
      <c r="E71" s="1211" t="str">
        <f t="shared" si="2"/>
        <v xml:space="preserve"> </v>
      </c>
      <c r="G71" s="1212" t="str">
        <f t="shared" si="3"/>
        <v xml:space="preserve"> </v>
      </c>
      <c r="H71" s="1201"/>
      <c r="I71">
        <f t="shared" si="0"/>
        <v>0</v>
      </c>
      <c r="K71">
        <f t="shared" si="1"/>
        <v>0</v>
      </c>
      <c r="L71" s="1213"/>
      <c r="N71" s="1214" t="str">
        <f t="shared" si="4"/>
        <v xml:space="preserve"> </v>
      </c>
      <c r="O71" s="1215" t="str">
        <f t="shared" si="5"/>
        <v xml:space="preserve"> </v>
      </c>
      <c r="Q71">
        <f t="shared" si="6"/>
        <v>0</v>
      </c>
      <c r="R71">
        <f t="shared" si="7"/>
        <v>0</v>
      </c>
    </row>
    <row r="72" spans="2:18" x14ac:dyDescent="0.2">
      <c r="B72" s="1209"/>
      <c r="C72" s="1210"/>
      <c r="D72" s="939"/>
      <c r="E72" s="1211" t="str">
        <f t="shared" si="2"/>
        <v xml:space="preserve"> </v>
      </c>
      <c r="G72" s="1212" t="str">
        <f t="shared" si="3"/>
        <v xml:space="preserve"> </v>
      </c>
      <c r="H72" s="1201"/>
      <c r="I72">
        <f t="shared" ref="I72:I135" si="8">(J72+C72)/12</f>
        <v>0</v>
      </c>
      <c r="K72">
        <f t="shared" ref="K72:K135" si="9">I72+B72</f>
        <v>0</v>
      </c>
      <c r="L72" s="1213"/>
      <c r="N72" s="1214" t="str">
        <f t="shared" si="4"/>
        <v xml:space="preserve"> </v>
      </c>
      <c r="O72" s="1215" t="str">
        <f t="shared" si="5"/>
        <v xml:space="preserve"> </v>
      </c>
      <c r="Q72">
        <f t="shared" si="6"/>
        <v>0</v>
      </c>
      <c r="R72">
        <f t="shared" si="7"/>
        <v>0</v>
      </c>
    </row>
    <row r="73" spans="2:18" x14ac:dyDescent="0.2">
      <c r="B73" s="1209"/>
      <c r="C73" s="1210"/>
      <c r="D73" s="939"/>
      <c r="E73" s="1211" t="str">
        <f t="shared" si="2"/>
        <v xml:space="preserve"> </v>
      </c>
      <c r="G73" s="1212" t="str">
        <f t="shared" si="3"/>
        <v xml:space="preserve"> </v>
      </c>
      <c r="H73" s="1201"/>
      <c r="I73">
        <f t="shared" si="8"/>
        <v>0</v>
      </c>
      <c r="K73">
        <f t="shared" si="9"/>
        <v>0</v>
      </c>
      <c r="L73" s="1213"/>
      <c r="N73" s="1214" t="str">
        <f t="shared" si="4"/>
        <v xml:space="preserve"> </v>
      </c>
      <c r="O73" s="1215" t="str">
        <f t="shared" si="5"/>
        <v xml:space="preserve"> </v>
      </c>
      <c r="Q73">
        <f t="shared" si="6"/>
        <v>0</v>
      </c>
      <c r="R73">
        <f t="shared" si="7"/>
        <v>0</v>
      </c>
    </row>
    <row r="74" spans="2:18" x14ac:dyDescent="0.2">
      <c r="B74" s="1209"/>
      <c r="C74" s="1210"/>
      <c r="D74" s="939"/>
      <c r="E74" s="1211" t="str">
        <f t="shared" ref="E74:E137" si="10">IF(K74=0," ",IF(K74&gt;0,K74*12*25.4))</f>
        <v xml:space="preserve"> </v>
      </c>
      <c r="G74" s="1212" t="str">
        <f t="shared" ref="G74:G137" si="11">IF(K74=0," ",IF(K74&gt;0,E74/1000))</f>
        <v xml:space="preserve"> </v>
      </c>
      <c r="H74" s="1201"/>
      <c r="I74">
        <f t="shared" si="8"/>
        <v>0</v>
      </c>
      <c r="K74">
        <f t="shared" si="9"/>
        <v>0</v>
      </c>
      <c r="L74" s="1213"/>
      <c r="N74" s="1214" t="str">
        <f t="shared" ref="N74:N137" si="12">IF(R74=0," ",IF(R74&gt;0,TRUNC(R74)))</f>
        <v xml:space="preserve"> </v>
      </c>
      <c r="O74" s="1215" t="str">
        <f t="shared" ref="O74:O137" si="13">IF(R74=0," ",IF(R74&gt;0,(R74-N74)*12))</f>
        <v xml:space="preserve"> </v>
      </c>
      <c r="Q74">
        <f t="shared" ref="Q74:Q137" si="14">L74/25.4</f>
        <v>0</v>
      </c>
      <c r="R74">
        <f t="shared" ref="R74:R137" si="15">Q74/12</f>
        <v>0</v>
      </c>
    </row>
    <row r="75" spans="2:18" x14ac:dyDescent="0.2">
      <c r="B75" s="1209"/>
      <c r="C75" s="1210"/>
      <c r="D75" s="939"/>
      <c r="E75" s="1211" t="str">
        <f t="shared" si="10"/>
        <v xml:space="preserve"> </v>
      </c>
      <c r="G75" s="1212" t="str">
        <f t="shared" si="11"/>
        <v xml:space="preserve"> </v>
      </c>
      <c r="H75" s="1201"/>
      <c r="I75">
        <f t="shared" si="8"/>
        <v>0</v>
      </c>
      <c r="K75">
        <f t="shared" si="9"/>
        <v>0</v>
      </c>
      <c r="L75" s="1213"/>
      <c r="N75" s="1214" t="str">
        <f t="shared" si="12"/>
        <v xml:space="preserve"> </v>
      </c>
      <c r="O75" s="1215" t="str">
        <f t="shared" si="13"/>
        <v xml:space="preserve"> </v>
      </c>
      <c r="Q75">
        <f t="shared" si="14"/>
        <v>0</v>
      </c>
      <c r="R75">
        <f t="shared" si="15"/>
        <v>0</v>
      </c>
    </row>
    <row r="76" spans="2:18" x14ac:dyDescent="0.2">
      <c r="B76" s="1209"/>
      <c r="C76" s="1210"/>
      <c r="D76" s="939"/>
      <c r="E76" s="1211" t="str">
        <f t="shared" si="10"/>
        <v xml:space="preserve"> </v>
      </c>
      <c r="G76" s="1212" t="str">
        <f t="shared" si="11"/>
        <v xml:space="preserve"> </v>
      </c>
      <c r="H76" s="1201"/>
      <c r="I76">
        <f t="shared" si="8"/>
        <v>0</v>
      </c>
      <c r="K76">
        <f t="shared" si="9"/>
        <v>0</v>
      </c>
      <c r="L76" s="1213"/>
      <c r="N76" s="1214" t="str">
        <f t="shared" si="12"/>
        <v xml:space="preserve"> </v>
      </c>
      <c r="O76" s="1215" t="str">
        <f t="shared" si="13"/>
        <v xml:space="preserve"> </v>
      </c>
      <c r="Q76">
        <f t="shared" si="14"/>
        <v>0</v>
      </c>
      <c r="R76">
        <f t="shared" si="15"/>
        <v>0</v>
      </c>
    </row>
    <row r="77" spans="2:18" x14ac:dyDescent="0.2">
      <c r="B77" s="1209"/>
      <c r="C77" s="1210"/>
      <c r="D77" s="939"/>
      <c r="E77" s="1211" t="str">
        <f t="shared" si="10"/>
        <v xml:space="preserve"> </v>
      </c>
      <c r="G77" s="1212" t="str">
        <f t="shared" si="11"/>
        <v xml:space="preserve"> </v>
      </c>
      <c r="H77" s="1201"/>
      <c r="I77">
        <f t="shared" si="8"/>
        <v>0</v>
      </c>
      <c r="K77">
        <f t="shared" si="9"/>
        <v>0</v>
      </c>
      <c r="L77" s="1213"/>
      <c r="N77" s="1214" t="str">
        <f t="shared" si="12"/>
        <v xml:space="preserve"> </v>
      </c>
      <c r="O77" s="1215" t="str">
        <f t="shared" si="13"/>
        <v xml:space="preserve"> </v>
      </c>
      <c r="Q77">
        <f t="shared" si="14"/>
        <v>0</v>
      </c>
      <c r="R77">
        <f t="shared" si="15"/>
        <v>0</v>
      </c>
    </row>
    <row r="78" spans="2:18" x14ac:dyDescent="0.2">
      <c r="B78" s="1209"/>
      <c r="C78" s="1210"/>
      <c r="D78" s="939"/>
      <c r="E78" s="1211" t="str">
        <f t="shared" si="10"/>
        <v xml:space="preserve"> </v>
      </c>
      <c r="G78" s="1212" t="str">
        <f t="shared" si="11"/>
        <v xml:space="preserve"> </v>
      </c>
      <c r="H78" s="1201"/>
      <c r="I78">
        <f t="shared" si="8"/>
        <v>0</v>
      </c>
      <c r="K78">
        <f t="shared" si="9"/>
        <v>0</v>
      </c>
      <c r="L78" s="1213"/>
      <c r="N78" s="1214" t="str">
        <f t="shared" si="12"/>
        <v xml:space="preserve"> </v>
      </c>
      <c r="O78" s="1215" t="str">
        <f t="shared" si="13"/>
        <v xml:space="preserve"> </v>
      </c>
      <c r="Q78">
        <f t="shared" si="14"/>
        <v>0</v>
      </c>
      <c r="R78">
        <f t="shared" si="15"/>
        <v>0</v>
      </c>
    </row>
    <row r="79" spans="2:18" x14ac:dyDescent="0.2">
      <c r="B79" s="1209"/>
      <c r="C79" s="1210"/>
      <c r="D79" s="939"/>
      <c r="E79" s="1211" t="str">
        <f t="shared" si="10"/>
        <v xml:space="preserve"> </v>
      </c>
      <c r="G79" s="1212" t="str">
        <f t="shared" si="11"/>
        <v xml:space="preserve"> </v>
      </c>
      <c r="H79" s="1201"/>
      <c r="I79">
        <f t="shared" si="8"/>
        <v>0</v>
      </c>
      <c r="K79">
        <f t="shared" si="9"/>
        <v>0</v>
      </c>
      <c r="L79" s="1213"/>
      <c r="N79" s="1214" t="str">
        <f t="shared" si="12"/>
        <v xml:space="preserve"> </v>
      </c>
      <c r="O79" s="1215" t="str">
        <f t="shared" si="13"/>
        <v xml:space="preserve"> </v>
      </c>
      <c r="Q79">
        <f t="shared" si="14"/>
        <v>0</v>
      </c>
      <c r="R79">
        <f t="shared" si="15"/>
        <v>0</v>
      </c>
    </row>
    <row r="80" spans="2:18" x14ac:dyDescent="0.2">
      <c r="B80" s="1209"/>
      <c r="C80" s="1210"/>
      <c r="D80" s="939"/>
      <c r="E80" s="1211" t="str">
        <f t="shared" si="10"/>
        <v xml:space="preserve"> </v>
      </c>
      <c r="G80" s="1212" t="str">
        <f t="shared" si="11"/>
        <v xml:space="preserve"> </v>
      </c>
      <c r="H80" s="1201"/>
      <c r="I80">
        <f t="shared" si="8"/>
        <v>0</v>
      </c>
      <c r="K80">
        <f t="shared" si="9"/>
        <v>0</v>
      </c>
      <c r="L80" s="1213"/>
      <c r="N80" s="1214" t="str">
        <f t="shared" si="12"/>
        <v xml:space="preserve"> </v>
      </c>
      <c r="O80" s="1215" t="str">
        <f t="shared" si="13"/>
        <v xml:space="preserve"> </v>
      </c>
      <c r="Q80">
        <f t="shared" si="14"/>
        <v>0</v>
      </c>
      <c r="R80">
        <f t="shared" si="15"/>
        <v>0</v>
      </c>
    </row>
    <row r="81" spans="2:18" x14ac:dyDescent="0.2">
      <c r="B81" s="1209"/>
      <c r="C81" s="1210"/>
      <c r="D81" s="939"/>
      <c r="E81" s="1211" t="str">
        <f t="shared" si="10"/>
        <v xml:space="preserve"> </v>
      </c>
      <c r="G81" s="1212" t="str">
        <f t="shared" si="11"/>
        <v xml:space="preserve"> </v>
      </c>
      <c r="H81" s="1201"/>
      <c r="I81">
        <f t="shared" si="8"/>
        <v>0</v>
      </c>
      <c r="K81">
        <f t="shared" si="9"/>
        <v>0</v>
      </c>
      <c r="L81" s="1213"/>
      <c r="N81" s="1214" t="str">
        <f t="shared" si="12"/>
        <v xml:space="preserve"> </v>
      </c>
      <c r="O81" s="1215" t="str">
        <f t="shared" si="13"/>
        <v xml:space="preserve"> </v>
      </c>
      <c r="Q81">
        <f t="shared" si="14"/>
        <v>0</v>
      </c>
      <c r="R81">
        <f t="shared" si="15"/>
        <v>0</v>
      </c>
    </row>
    <row r="82" spans="2:18" x14ac:dyDescent="0.2">
      <c r="B82" s="1209"/>
      <c r="C82" s="1210"/>
      <c r="D82" s="939"/>
      <c r="E82" s="1211" t="str">
        <f t="shared" si="10"/>
        <v xml:space="preserve"> </v>
      </c>
      <c r="G82" s="1212" t="str">
        <f t="shared" si="11"/>
        <v xml:space="preserve"> </v>
      </c>
      <c r="H82" s="1201"/>
      <c r="I82">
        <f t="shared" si="8"/>
        <v>0</v>
      </c>
      <c r="K82">
        <f t="shared" si="9"/>
        <v>0</v>
      </c>
      <c r="L82" s="1213"/>
      <c r="N82" s="1214" t="str">
        <f t="shared" si="12"/>
        <v xml:space="preserve"> </v>
      </c>
      <c r="O82" s="1215" t="str">
        <f t="shared" si="13"/>
        <v xml:space="preserve"> </v>
      </c>
      <c r="Q82">
        <f t="shared" si="14"/>
        <v>0</v>
      </c>
      <c r="R82">
        <f t="shared" si="15"/>
        <v>0</v>
      </c>
    </row>
    <row r="83" spans="2:18" x14ac:dyDescent="0.2">
      <c r="B83" s="1209"/>
      <c r="C83" s="1210"/>
      <c r="D83" s="939"/>
      <c r="E83" s="1211" t="str">
        <f t="shared" si="10"/>
        <v xml:space="preserve"> </v>
      </c>
      <c r="G83" s="1212" t="str">
        <f t="shared" si="11"/>
        <v xml:space="preserve"> </v>
      </c>
      <c r="H83" s="1201"/>
      <c r="I83">
        <f t="shared" si="8"/>
        <v>0</v>
      </c>
      <c r="K83">
        <f t="shared" si="9"/>
        <v>0</v>
      </c>
      <c r="L83" s="1213"/>
      <c r="N83" s="1214" t="str">
        <f t="shared" si="12"/>
        <v xml:space="preserve"> </v>
      </c>
      <c r="O83" s="1215" t="str">
        <f t="shared" si="13"/>
        <v xml:space="preserve"> </v>
      </c>
      <c r="Q83">
        <f t="shared" si="14"/>
        <v>0</v>
      </c>
      <c r="R83">
        <f t="shared" si="15"/>
        <v>0</v>
      </c>
    </row>
    <row r="84" spans="2:18" x14ac:dyDescent="0.2">
      <c r="B84" s="1209"/>
      <c r="C84" s="1210"/>
      <c r="D84" s="939"/>
      <c r="E84" s="1211" t="str">
        <f t="shared" si="10"/>
        <v xml:space="preserve"> </v>
      </c>
      <c r="G84" s="1212" t="str">
        <f t="shared" si="11"/>
        <v xml:space="preserve"> </v>
      </c>
      <c r="H84" s="1201"/>
      <c r="I84">
        <f t="shared" si="8"/>
        <v>0</v>
      </c>
      <c r="K84">
        <f t="shared" si="9"/>
        <v>0</v>
      </c>
      <c r="L84" s="1213"/>
      <c r="N84" s="1214" t="str">
        <f t="shared" si="12"/>
        <v xml:space="preserve"> </v>
      </c>
      <c r="O84" s="1215" t="str">
        <f t="shared" si="13"/>
        <v xml:space="preserve"> </v>
      </c>
      <c r="Q84">
        <f t="shared" si="14"/>
        <v>0</v>
      </c>
      <c r="R84">
        <f t="shared" si="15"/>
        <v>0</v>
      </c>
    </row>
    <row r="85" spans="2:18" x14ac:dyDescent="0.2">
      <c r="B85" s="1209"/>
      <c r="C85" s="1210"/>
      <c r="D85" s="939"/>
      <c r="E85" s="1211" t="str">
        <f t="shared" si="10"/>
        <v xml:space="preserve"> </v>
      </c>
      <c r="G85" s="1212" t="str">
        <f t="shared" si="11"/>
        <v xml:space="preserve"> </v>
      </c>
      <c r="H85" s="1201"/>
      <c r="I85">
        <f t="shared" si="8"/>
        <v>0</v>
      </c>
      <c r="K85">
        <f t="shared" si="9"/>
        <v>0</v>
      </c>
      <c r="L85" s="1213"/>
      <c r="N85" s="1214" t="str">
        <f t="shared" si="12"/>
        <v xml:space="preserve"> </v>
      </c>
      <c r="O85" s="1215" t="str">
        <f t="shared" si="13"/>
        <v xml:space="preserve"> </v>
      </c>
      <c r="Q85">
        <f t="shared" si="14"/>
        <v>0</v>
      </c>
      <c r="R85">
        <f t="shared" si="15"/>
        <v>0</v>
      </c>
    </row>
    <row r="86" spans="2:18" x14ac:dyDescent="0.2">
      <c r="B86" s="1209"/>
      <c r="C86" s="1210"/>
      <c r="D86" s="939"/>
      <c r="E86" s="1211" t="str">
        <f t="shared" si="10"/>
        <v xml:space="preserve"> </v>
      </c>
      <c r="G86" s="1212" t="str">
        <f t="shared" si="11"/>
        <v xml:space="preserve"> </v>
      </c>
      <c r="H86" s="1201"/>
      <c r="I86">
        <f t="shared" si="8"/>
        <v>0</v>
      </c>
      <c r="K86">
        <f t="shared" si="9"/>
        <v>0</v>
      </c>
      <c r="L86" s="1213"/>
      <c r="N86" s="1214" t="str">
        <f t="shared" si="12"/>
        <v xml:space="preserve"> </v>
      </c>
      <c r="O86" s="1215" t="str">
        <f t="shared" si="13"/>
        <v xml:space="preserve"> </v>
      </c>
      <c r="Q86">
        <f t="shared" si="14"/>
        <v>0</v>
      </c>
      <c r="R86">
        <f t="shared" si="15"/>
        <v>0</v>
      </c>
    </row>
    <row r="87" spans="2:18" x14ac:dyDescent="0.2">
      <c r="B87" s="1209"/>
      <c r="C87" s="1210"/>
      <c r="D87" s="939"/>
      <c r="E87" s="1211" t="str">
        <f t="shared" si="10"/>
        <v xml:space="preserve"> </v>
      </c>
      <c r="G87" s="1212" t="str">
        <f t="shared" si="11"/>
        <v xml:space="preserve"> </v>
      </c>
      <c r="H87" s="1201"/>
      <c r="I87">
        <f t="shared" si="8"/>
        <v>0</v>
      </c>
      <c r="K87">
        <f t="shared" si="9"/>
        <v>0</v>
      </c>
      <c r="L87" s="1213"/>
      <c r="N87" s="1214" t="str">
        <f t="shared" si="12"/>
        <v xml:space="preserve"> </v>
      </c>
      <c r="O87" s="1215" t="str">
        <f t="shared" si="13"/>
        <v xml:space="preserve"> </v>
      </c>
      <c r="Q87">
        <f t="shared" si="14"/>
        <v>0</v>
      </c>
      <c r="R87">
        <f t="shared" si="15"/>
        <v>0</v>
      </c>
    </row>
    <row r="88" spans="2:18" x14ac:dyDescent="0.2">
      <c r="B88" s="1209"/>
      <c r="C88" s="1210"/>
      <c r="D88" s="939"/>
      <c r="E88" s="1211" t="str">
        <f t="shared" si="10"/>
        <v xml:space="preserve"> </v>
      </c>
      <c r="G88" s="1212" t="str">
        <f t="shared" si="11"/>
        <v xml:space="preserve"> </v>
      </c>
      <c r="H88" s="1201"/>
      <c r="I88">
        <f t="shared" si="8"/>
        <v>0</v>
      </c>
      <c r="K88">
        <f t="shared" si="9"/>
        <v>0</v>
      </c>
      <c r="L88" s="1213"/>
      <c r="N88" s="1214" t="str">
        <f t="shared" si="12"/>
        <v xml:space="preserve"> </v>
      </c>
      <c r="O88" s="1215" t="str">
        <f t="shared" si="13"/>
        <v xml:space="preserve"> </v>
      </c>
      <c r="Q88">
        <f t="shared" si="14"/>
        <v>0</v>
      </c>
      <c r="R88">
        <f t="shared" si="15"/>
        <v>0</v>
      </c>
    </row>
    <row r="89" spans="2:18" x14ac:dyDescent="0.2">
      <c r="B89" s="1209"/>
      <c r="C89" s="1210"/>
      <c r="D89" s="939"/>
      <c r="E89" s="1211" t="str">
        <f t="shared" si="10"/>
        <v xml:space="preserve"> </v>
      </c>
      <c r="G89" s="1212" t="str">
        <f t="shared" si="11"/>
        <v xml:space="preserve"> </v>
      </c>
      <c r="H89" s="1201"/>
      <c r="I89">
        <f t="shared" si="8"/>
        <v>0</v>
      </c>
      <c r="K89">
        <f t="shared" si="9"/>
        <v>0</v>
      </c>
      <c r="L89" s="1213"/>
      <c r="N89" s="1214" t="str">
        <f t="shared" si="12"/>
        <v xml:space="preserve"> </v>
      </c>
      <c r="O89" s="1215" t="str">
        <f t="shared" si="13"/>
        <v xml:space="preserve"> </v>
      </c>
      <c r="Q89">
        <f t="shared" si="14"/>
        <v>0</v>
      </c>
      <c r="R89">
        <f t="shared" si="15"/>
        <v>0</v>
      </c>
    </row>
    <row r="90" spans="2:18" x14ac:dyDescent="0.2">
      <c r="B90" s="1209"/>
      <c r="C90" s="1210"/>
      <c r="D90" s="939"/>
      <c r="E90" s="1211" t="str">
        <f t="shared" si="10"/>
        <v xml:space="preserve"> </v>
      </c>
      <c r="G90" s="1212" t="str">
        <f t="shared" si="11"/>
        <v xml:space="preserve"> </v>
      </c>
      <c r="H90" s="1201"/>
      <c r="I90">
        <f t="shared" si="8"/>
        <v>0</v>
      </c>
      <c r="K90">
        <f t="shared" si="9"/>
        <v>0</v>
      </c>
      <c r="L90" s="1213"/>
      <c r="N90" s="1214" t="str">
        <f t="shared" si="12"/>
        <v xml:space="preserve"> </v>
      </c>
      <c r="O90" s="1215" t="str">
        <f t="shared" si="13"/>
        <v xml:space="preserve"> </v>
      </c>
      <c r="Q90">
        <f t="shared" si="14"/>
        <v>0</v>
      </c>
      <c r="R90">
        <f t="shared" si="15"/>
        <v>0</v>
      </c>
    </row>
    <row r="91" spans="2:18" x14ac:dyDescent="0.2">
      <c r="B91" s="1209"/>
      <c r="C91" s="1210"/>
      <c r="D91" s="939"/>
      <c r="E91" s="1211" t="str">
        <f t="shared" si="10"/>
        <v xml:space="preserve"> </v>
      </c>
      <c r="G91" s="1212" t="str">
        <f t="shared" si="11"/>
        <v xml:space="preserve"> </v>
      </c>
      <c r="H91" s="1201"/>
      <c r="I91">
        <f t="shared" si="8"/>
        <v>0</v>
      </c>
      <c r="K91">
        <f t="shared" si="9"/>
        <v>0</v>
      </c>
      <c r="L91" s="1213"/>
      <c r="N91" s="1214" t="str">
        <f t="shared" si="12"/>
        <v xml:space="preserve"> </v>
      </c>
      <c r="O91" s="1215" t="str">
        <f t="shared" si="13"/>
        <v xml:space="preserve"> </v>
      </c>
      <c r="Q91">
        <f t="shared" si="14"/>
        <v>0</v>
      </c>
      <c r="R91">
        <f t="shared" si="15"/>
        <v>0</v>
      </c>
    </row>
    <row r="92" spans="2:18" x14ac:dyDescent="0.2">
      <c r="B92" s="1209"/>
      <c r="C92" s="1210"/>
      <c r="D92" s="939"/>
      <c r="E92" s="1211" t="str">
        <f t="shared" si="10"/>
        <v xml:space="preserve"> </v>
      </c>
      <c r="G92" s="1212" t="str">
        <f t="shared" si="11"/>
        <v xml:space="preserve"> </v>
      </c>
      <c r="H92" s="1201"/>
      <c r="I92">
        <f t="shared" si="8"/>
        <v>0</v>
      </c>
      <c r="K92">
        <f t="shared" si="9"/>
        <v>0</v>
      </c>
      <c r="L92" s="1213"/>
      <c r="N92" s="1214" t="str">
        <f t="shared" si="12"/>
        <v xml:space="preserve"> </v>
      </c>
      <c r="O92" s="1215" t="str">
        <f t="shared" si="13"/>
        <v xml:space="preserve"> </v>
      </c>
      <c r="Q92">
        <f t="shared" si="14"/>
        <v>0</v>
      </c>
      <c r="R92">
        <f t="shared" si="15"/>
        <v>0</v>
      </c>
    </row>
    <row r="93" spans="2:18" x14ac:dyDescent="0.2">
      <c r="B93" s="1209"/>
      <c r="C93" s="1210"/>
      <c r="D93" s="939"/>
      <c r="E93" s="1211" t="str">
        <f t="shared" si="10"/>
        <v xml:space="preserve"> </v>
      </c>
      <c r="G93" s="1212" t="str">
        <f t="shared" si="11"/>
        <v xml:space="preserve"> </v>
      </c>
      <c r="H93" s="1201"/>
      <c r="I93">
        <f t="shared" si="8"/>
        <v>0</v>
      </c>
      <c r="K93">
        <f t="shared" si="9"/>
        <v>0</v>
      </c>
      <c r="L93" s="1213"/>
      <c r="N93" s="1214" t="str">
        <f t="shared" si="12"/>
        <v xml:space="preserve"> </v>
      </c>
      <c r="O93" s="1215" t="str">
        <f t="shared" si="13"/>
        <v xml:space="preserve"> </v>
      </c>
      <c r="Q93">
        <f t="shared" si="14"/>
        <v>0</v>
      </c>
      <c r="R93">
        <f t="shared" si="15"/>
        <v>0</v>
      </c>
    </row>
    <row r="94" spans="2:18" x14ac:dyDescent="0.2">
      <c r="B94" s="1209"/>
      <c r="C94" s="1210"/>
      <c r="D94" s="939"/>
      <c r="E94" s="1211" t="str">
        <f t="shared" si="10"/>
        <v xml:space="preserve"> </v>
      </c>
      <c r="G94" s="1212" t="str">
        <f t="shared" si="11"/>
        <v xml:space="preserve"> </v>
      </c>
      <c r="H94" s="1201"/>
      <c r="I94">
        <f t="shared" si="8"/>
        <v>0</v>
      </c>
      <c r="K94">
        <f t="shared" si="9"/>
        <v>0</v>
      </c>
      <c r="L94" s="1213"/>
      <c r="N94" s="1214" t="str">
        <f t="shared" si="12"/>
        <v xml:space="preserve"> </v>
      </c>
      <c r="O94" s="1215" t="str">
        <f t="shared" si="13"/>
        <v xml:space="preserve"> </v>
      </c>
      <c r="Q94">
        <f t="shared" si="14"/>
        <v>0</v>
      </c>
      <c r="R94">
        <f t="shared" si="15"/>
        <v>0</v>
      </c>
    </row>
    <row r="95" spans="2:18" x14ac:dyDescent="0.2">
      <c r="B95" s="1209"/>
      <c r="C95" s="1210"/>
      <c r="D95" s="939"/>
      <c r="E95" s="1211" t="str">
        <f t="shared" si="10"/>
        <v xml:space="preserve"> </v>
      </c>
      <c r="G95" s="1212" t="str">
        <f t="shared" si="11"/>
        <v xml:space="preserve"> </v>
      </c>
      <c r="H95" s="1201"/>
      <c r="I95">
        <f t="shared" si="8"/>
        <v>0</v>
      </c>
      <c r="K95">
        <f t="shared" si="9"/>
        <v>0</v>
      </c>
      <c r="L95" s="1213"/>
      <c r="N95" s="1214" t="str">
        <f t="shared" si="12"/>
        <v xml:space="preserve"> </v>
      </c>
      <c r="O95" s="1215" t="str">
        <f t="shared" si="13"/>
        <v xml:space="preserve"> </v>
      </c>
      <c r="Q95">
        <f t="shared" si="14"/>
        <v>0</v>
      </c>
      <c r="R95">
        <f t="shared" si="15"/>
        <v>0</v>
      </c>
    </row>
    <row r="96" spans="2:18" x14ac:dyDescent="0.2">
      <c r="B96" s="1209"/>
      <c r="C96" s="1210"/>
      <c r="D96" s="939"/>
      <c r="E96" s="1211" t="str">
        <f t="shared" si="10"/>
        <v xml:space="preserve"> </v>
      </c>
      <c r="G96" s="1212" t="str">
        <f t="shared" si="11"/>
        <v xml:space="preserve"> </v>
      </c>
      <c r="H96" s="1201"/>
      <c r="I96">
        <f t="shared" si="8"/>
        <v>0</v>
      </c>
      <c r="K96">
        <f t="shared" si="9"/>
        <v>0</v>
      </c>
      <c r="L96" s="1213"/>
      <c r="N96" s="1214" t="str">
        <f t="shared" si="12"/>
        <v xml:space="preserve"> </v>
      </c>
      <c r="O96" s="1215" t="str">
        <f t="shared" si="13"/>
        <v xml:space="preserve"> </v>
      </c>
      <c r="Q96">
        <f t="shared" si="14"/>
        <v>0</v>
      </c>
      <c r="R96">
        <f t="shared" si="15"/>
        <v>0</v>
      </c>
    </row>
    <row r="97" spans="2:18" x14ac:dyDescent="0.2">
      <c r="B97" s="1209"/>
      <c r="C97" s="1210"/>
      <c r="D97" s="939"/>
      <c r="E97" s="1211" t="str">
        <f t="shared" si="10"/>
        <v xml:space="preserve"> </v>
      </c>
      <c r="G97" s="1212" t="str">
        <f t="shared" si="11"/>
        <v xml:space="preserve"> </v>
      </c>
      <c r="H97" s="1201"/>
      <c r="I97">
        <f t="shared" si="8"/>
        <v>0</v>
      </c>
      <c r="K97">
        <f t="shared" si="9"/>
        <v>0</v>
      </c>
      <c r="L97" s="1213"/>
      <c r="N97" s="1214" t="str">
        <f t="shared" si="12"/>
        <v xml:space="preserve"> </v>
      </c>
      <c r="O97" s="1215" t="str">
        <f t="shared" si="13"/>
        <v xml:space="preserve"> </v>
      </c>
      <c r="Q97">
        <f t="shared" si="14"/>
        <v>0</v>
      </c>
      <c r="R97">
        <f t="shared" si="15"/>
        <v>0</v>
      </c>
    </row>
    <row r="98" spans="2:18" x14ac:dyDescent="0.2">
      <c r="B98" s="1209"/>
      <c r="C98" s="1210"/>
      <c r="D98" s="939"/>
      <c r="E98" s="1211" t="str">
        <f t="shared" si="10"/>
        <v xml:space="preserve"> </v>
      </c>
      <c r="G98" s="1212" t="str">
        <f t="shared" si="11"/>
        <v xml:space="preserve"> </v>
      </c>
      <c r="H98" s="1201"/>
      <c r="I98">
        <f t="shared" si="8"/>
        <v>0</v>
      </c>
      <c r="K98">
        <f t="shared" si="9"/>
        <v>0</v>
      </c>
      <c r="L98" s="1213"/>
      <c r="N98" s="1214" t="str">
        <f t="shared" si="12"/>
        <v xml:space="preserve"> </v>
      </c>
      <c r="O98" s="1215" t="str">
        <f t="shared" si="13"/>
        <v xml:space="preserve"> </v>
      </c>
      <c r="Q98">
        <f t="shared" si="14"/>
        <v>0</v>
      </c>
      <c r="R98">
        <f t="shared" si="15"/>
        <v>0</v>
      </c>
    </row>
    <row r="99" spans="2:18" x14ac:dyDescent="0.2">
      <c r="B99" s="1209"/>
      <c r="C99" s="1210"/>
      <c r="D99" s="939"/>
      <c r="E99" s="1211" t="str">
        <f t="shared" si="10"/>
        <v xml:space="preserve"> </v>
      </c>
      <c r="G99" s="1212" t="str">
        <f t="shared" si="11"/>
        <v xml:space="preserve"> </v>
      </c>
      <c r="H99" s="1201"/>
      <c r="I99">
        <f t="shared" si="8"/>
        <v>0</v>
      </c>
      <c r="K99">
        <f t="shared" si="9"/>
        <v>0</v>
      </c>
      <c r="L99" s="1213"/>
      <c r="N99" s="1214" t="str">
        <f t="shared" si="12"/>
        <v xml:space="preserve"> </v>
      </c>
      <c r="O99" s="1215" t="str">
        <f t="shared" si="13"/>
        <v xml:space="preserve"> </v>
      </c>
      <c r="Q99">
        <f t="shared" si="14"/>
        <v>0</v>
      </c>
      <c r="R99">
        <f t="shared" si="15"/>
        <v>0</v>
      </c>
    </row>
    <row r="100" spans="2:18" x14ac:dyDescent="0.2">
      <c r="B100" s="1209"/>
      <c r="C100" s="1210"/>
      <c r="D100" s="939"/>
      <c r="E100" s="1211" t="str">
        <f t="shared" si="10"/>
        <v xml:space="preserve"> </v>
      </c>
      <c r="G100" s="1212" t="str">
        <f t="shared" si="11"/>
        <v xml:space="preserve"> </v>
      </c>
      <c r="H100" s="1201"/>
      <c r="I100">
        <f t="shared" si="8"/>
        <v>0</v>
      </c>
      <c r="K100">
        <f t="shared" si="9"/>
        <v>0</v>
      </c>
      <c r="L100" s="1213"/>
      <c r="N100" s="1214" t="str">
        <f t="shared" si="12"/>
        <v xml:space="preserve"> </v>
      </c>
      <c r="O100" s="1215" t="str">
        <f t="shared" si="13"/>
        <v xml:space="preserve"> </v>
      </c>
      <c r="Q100">
        <f t="shared" si="14"/>
        <v>0</v>
      </c>
      <c r="R100">
        <f t="shared" si="15"/>
        <v>0</v>
      </c>
    </row>
    <row r="101" spans="2:18" x14ac:dyDescent="0.2">
      <c r="B101" s="1209"/>
      <c r="C101" s="1210"/>
      <c r="D101" s="939"/>
      <c r="E101" s="1211" t="str">
        <f t="shared" si="10"/>
        <v xml:space="preserve"> </v>
      </c>
      <c r="G101" s="1212" t="str">
        <f t="shared" si="11"/>
        <v xml:space="preserve"> </v>
      </c>
      <c r="H101" s="1201"/>
      <c r="I101">
        <f t="shared" si="8"/>
        <v>0</v>
      </c>
      <c r="K101">
        <f t="shared" si="9"/>
        <v>0</v>
      </c>
      <c r="L101" s="1213"/>
      <c r="N101" s="1214" t="str">
        <f t="shared" si="12"/>
        <v xml:space="preserve"> </v>
      </c>
      <c r="O101" s="1215" t="str">
        <f t="shared" si="13"/>
        <v xml:space="preserve"> </v>
      </c>
      <c r="Q101">
        <f t="shared" si="14"/>
        <v>0</v>
      </c>
      <c r="R101">
        <f t="shared" si="15"/>
        <v>0</v>
      </c>
    </row>
    <row r="102" spans="2:18" x14ac:dyDescent="0.2">
      <c r="B102" s="1209"/>
      <c r="C102" s="1210"/>
      <c r="D102" s="939"/>
      <c r="E102" s="1211" t="str">
        <f t="shared" si="10"/>
        <v xml:space="preserve"> </v>
      </c>
      <c r="G102" s="1212" t="str">
        <f t="shared" si="11"/>
        <v xml:space="preserve"> </v>
      </c>
      <c r="H102" s="1201"/>
      <c r="I102">
        <f t="shared" si="8"/>
        <v>0</v>
      </c>
      <c r="K102">
        <f t="shared" si="9"/>
        <v>0</v>
      </c>
      <c r="L102" s="1213"/>
      <c r="N102" s="1214" t="str">
        <f t="shared" si="12"/>
        <v xml:space="preserve"> </v>
      </c>
      <c r="O102" s="1215" t="str">
        <f t="shared" si="13"/>
        <v xml:space="preserve"> </v>
      </c>
      <c r="Q102">
        <f t="shared" si="14"/>
        <v>0</v>
      </c>
      <c r="R102">
        <f t="shared" si="15"/>
        <v>0</v>
      </c>
    </row>
    <row r="103" spans="2:18" x14ac:dyDescent="0.2">
      <c r="B103" s="1209"/>
      <c r="C103" s="1210"/>
      <c r="D103" s="939"/>
      <c r="E103" s="1211" t="str">
        <f t="shared" si="10"/>
        <v xml:space="preserve"> </v>
      </c>
      <c r="G103" s="1212" t="str">
        <f t="shared" si="11"/>
        <v xml:space="preserve"> </v>
      </c>
      <c r="H103" s="1201"/>
      <c r="I103">
        <f t="shared" si="8"/>
        <v>0</v>
      </c>
      <c r="K103">
        <f t="shared" si="9"/>
        <v>0</v>
      </c>
      <c r="L103" s="1213"/>
      <c r="N103" s="1214" t="str">
        <f t="shared" si="12"/>
        <v xml:space="preserve"> </v>
      </c>
      <c r="O103" s="1215" t="str">
        <f t="shared" si="13"/>
        <v xml:space="preserve"> </v>
      </c>
      <c r="Q103">
        <f t="shared" si="14"/>
        <v>0</v>
      </c>
      <c r="R103">
        <f t="shared" si="15"/>
        <v>0</v>
      </c>
    </row>
    <row r="104" spans="2:18" x14ac:dyDescent="0.2">
      <c r="B104" s="1209"/>
      <c r="C104" s="1210"/>
      <c r="D104" s="939"/>
      <c r="E104" s="1211" t="str">
        <f t="shared" si="10"/>
        <v xml:space="preserve"> </v>
      </c>
      <c r="G104" s="1212" t="str">
        <f t="shared" si="11"/>
        <v xml:space="preserve"> </v>
      </c>
      <c r="H104" s="1201"/>
      <c r="I104">
        <f t="shared" si="8"/>
        <v>0</v>
      </c>
      <c r="K104">
        <f t="shared" si="9"/>
        <v>0</v>
      </c>
      <c r="L104" s="1213"/>
      <c r="N104" s="1214" t="str">
        <f t="shared" si="12"/>
        <v xml:space="preserve"> </v>
      </c>
      <c r="O104" s="1215" t="str">
        <f t="shared" si="13"/>
        <v xml:space="preserve"> </v>
      </c>
      <c r="Q104">
        <f t="shared" si="14"/>
        <v>0</v>
      </c>
      <c r="R104">
        <f t="shared" si="15"/>
        <v>0</v>
      </c>
    </row>
    <row r="105" spans="2:18" x14ac:dyDescent="0.2">
      <c r="B105" s="1209"/>
      <c r="C105" s="1210"/>
      <c r="D105" s="939"/>
      <c r="E105" s="1211" t="str">
        <f t="shared" si="10"/>
        <v xml:space="preserve"> </v>
      </c>
      <c r="G105" s="1212" t="str">
        <f t="shared" si="11"/>
        <v xml:space="preserve"> </v>
      </c>
      <c r="H105" s="1201"/>
      <c r="I105">
        <f t="shared" si="8"/>
        <v>0</v>
      </c>
      <c r="K105">
        <f t="shared" si="9"/>
        <v>0</v>
      </c>
      <c r="L105" s="1213"/>
      <c r="N105" s="1214" t="str">
        <f t="shared" si="12"/>
        <v xml:space="preserve"> </v>
      </c>
      <c r="O105" s="1215" t="str">
        <f t="shared" si="13"/>
        <v xml:space="preserve"> </v>
      </c>
      <c r="Q105">
        <f t="shared" si="14"/>
        <v>0</v>
      </c>
      <c r="R105">
        <f t="shared" si="15"/>
        <v>0</v>
      </c>
    </row>
    <row r="106" spans="2:18" x14ac:dyDescent="0.2">
      <c r="B106" s="1209"/>
      <c r="C106" s="1210"/>
      <c r="D106" s="939"/>
      <c r="E106" s="1211" t="str">
        <f t="shared" si="10"/>
        <v xml:space="preserve"> </v>
      </c>
      <c r="G106" s="1212" t="str">
        <f t="shared" si="11"/>
        <v xml:space="preserve"> </v>
      </c>
      <c r="H106" s="1201"/>
      <c r="I106">
        <f t="shared" si="8"/>
        <v>0</v>
      </c>
      <c r="K106">
        <f t="shared" si="9"/>
        <v>0</v>
      </c>
      <c r="L106" s="1213"/>
      <c r="N106" s="1214" t="str">
        <f t="shared" si="12"/>
        <v xml:space="preserve"> </v>
      </c>
      <c r="O106" s="1215" t="str">
        <f t="shared" si="13"/>
        <v xml:space="preserve"> </v>
      </c>
      <c r="Q106">
        <f t="shared" si="14"/>
        <v>0</v>
      </c>
      <c r="R106">
        <f t="shared" si="15"/>
        <v>0</v>
      </c>
    </row>
    <row r="107" spans="2:18" x14ac:dyDescent="0.2">
      <c r="B107" s="1209"/>
      <c r="C107" s="1210"/>
      <c r="D107" s="939"/>
      <c r="E107" s="1211" t="str">
        <f t="shared" si="10"/>
        <v xml:space="preserve"> </v>
      </c>
      <c r="G107" s="1212" t="str">
        <f t="shared" si="11"/>
        <v xml:space="preserve"> </v>
      </c>
      <c r="H107" s="1201"/>
      <c r="I107">
        <f t="shared" si="8"/>
        <v>0</v>
      </c>
      <c r="K107">
        <f t="shared" si="9"/>
        <v>0</v>
      </c>
      <c r="L107" s="1213"/>
      <c r="N107" s="1214" t="str">
        <f t="shared" si="12"/>
        <v xml:space="preserve"> </v>
      </c>
      <c r="O107" s="1215" t="str">
        <f t="shared" si="13"/>
        <v xml:space="preserve"> </v>
      </c>
      <c r="Q107">
        <f t="shared" si="14"/>
        <v>0</v>
      </c>
      <c r="R107">
        <f t="shared" si="15"/>
        <v>0</v>
      </c>
    </row>
    <row r="108" spans="2:18" x14ac:dyDescent="0.2">
      <c r="B108" s="1209"/>
      <c r="C108" s="1210"/>
      <c r="D108" s="939"/>
      <c r="E108" s="1211" t="str">
        <f t="shared" si="10"/>
        <v xml:space="preserve"> </v>
      </c>
      <c r="G108" s="1212" t="str">
        <f t="shared" si="11"/>
        <v xml:space="preserve"> </v>
      </c>
      <c r="H108" s="1201"/>
      <c r="I108">
        <f t="shared" si="8"/>
        <v>0</v>
      </c>
      <c r="K108">
        <f t="shared" si="9"/>
        <v>0</v>
      </c>
      <c r="L108" s="1213"/>
      <c r="N108" s="1214" t="str">
        <f t="shared" si="12"/>
        <v xml:space="preserve"> </v>
      </c>
      <c r="O108" s="1215" t="str">
        <f t="shared" si="13"/>
        <v xml:space="preserve"> </v>
      </c>
      <c r="Q108">
        <f t="shared" si="14"/>
        <v>0</v>
      </c>
      <c r="R108">
        <f t="shared" si="15"/>
        <v>0</v>
      </c>
    </row>
    <row r="109" spans="2:18" x14ac:dyDescent="0.2">
      <c r="B109" s="1209"/>
      <c r="C109" s="1210"/>
      <c r="D109" s="939"/>
      <c r="E109" s="1211" t="str">
        <f t="shared" si="10"/>
        <v xml:space="preserve"> </v>
      </c>
      <c r="G109" s="1212" t="str">
        <f t="shared" si="11"/>
        <v xml:space="preserve"> </v>
      </c>
      <c r="H109" s="1201"/>
      <c r="I109">
        <f t="shared" si="8"/>
        <v>0</v>
      </c>
      <c r="K109">
        <f t="shared" si="9"/>
        <v>0</v>
      </c>
      <c r="L109" s="1213"/>
      <c r="N109" s="1214" t="str">
        <f t="shared" si="12"/>
        <v xml:space="preserve"> </v>
      </c>
      <c r="O109" s="1215" t="str">
        <f t="shared" si="13"/>
        <v xml:space="preserve"> </v>
      </c>
      <c r="Q109">
        <f t="shared" si="14"/>
        <v>0</v>
      </c>
      <c r="R109">
        <f t="shared" si="15"/>
        <v>0</v>
      </c>
    </row>
    <row r="110" spans="2:18" x14ac:dyDescent="0.2">
      <c r="B110" s="1209"/>
      <c r="C110" s="1210"/>
      <c r="D110" s="939"/>
      <c r="E110" s="1211" t="str">
        <f t="shared" si="10"/>
        <v xml:space="preserve"> </v>
      </c>
      <c r="G110" s="1212" t="str">
        <f t="shared" si="11"/>
        <v xml:space="preserve"> </v>
      </c>
      <c r="H110" s="1201"/>
      <c r="I110">
        <f t="shared" si="8"/>
        <v>0</v>
      </c>
      <c r="K110">
        <f t="shared" si="9"/>
        <v>0</v>
      </c>
      <c r="L110" s="1213"/>
      <c r="N110" s="1214" t="str">
        <f t="shared" si="12"/>
        <v xml:space="preserve"> </v>
      </c>
      <c r="O110" s="1215" t="str">
        <f t="shared" si="13"/>
        <v xml:space="preserve"> </v>
      </c>
      <c r="Q110">
        <f t="shared" si="14"/>
        <v>0</v>
      </c>
      <c r="R110">
        <f t="shared" si="15"/>
        <v>0</v>
      </c>
    </row>
    <row r="111" spans="2:18" x14ac:dyDescent="0.2">
      <c r="B111" s="1209"/>
      <c r="C111" s="1210"/>
      <c r="D111" s="939"/>
      <c r="E111" s="1211" t="str">
        <f t="shared" si="10"/>
        <v xml:space="preserve"> </v>
      </c>
      <c r="G111" s="1212" t="str">
        <f t="shared" si="11"/>
        <v xml:space="preserve"> </v>
      </c>
      <c r="H111" s="1201"/>
      <c r="I111">
        <f t="shared" si="8"/>
        <v>0</v>
      </c>
      <c r="K111">
        <f t="shared" si="9"/>
        <v>0</v>
      </c>
      <c r="L111" s="1213"/>
      <c r="N111" s="1214" t="str">
        <f t="shared" si="12"/>
        <v xml:space="preserve"> </v>
      </c>
      <c r="O111" s="1215" t="str">
        <f t="shared" si="13"/>
        <v xml:space="preserve"> </v>
      </c>
      <c r="Q111">
        <f t="shared" si="14"/>
        <v>0</v>
      </c>
      <c r="R111">
        <f t="shared" si="15"/>
        <v>0</v>
      </c>
    </row>
    <row r="112" spans="2:18" x14ac:dyDescent="0.2">
      <c r="B112" s="1209"/>
      <c r="C112" s="1210"/>
      <c r="D112" s="939"/>
      <c r="E112" s="1211" t="str">
        <f t="shared" si="10"/>
        <v xml:space="preserve"> </v>
      </c>
      <c r="G112" s="1212" t="str">
        <f t="shared" si="11"/>
        <v xml:space="preserve"> </v>
      </c>
      <c r="H112" s="1201"/>
      <c r="I112">
        <f t="shared" si="8"/>
        <v>0</v>
      </c>
      <c r="K112">
        <f t="shared" si="9"/>
        <v>0</v>
      </c>
      <c r="L112" s="1213"/>
      <c r="N112" s="1214" t="str">
        <f t="shared" si="12"/>
        <v xml:space="preserve"> </v>
      </c>
      <c r="O112" s="1215" t="str">
        <f t="shared" si="13"/>
        <v xml:space="preserve"> </v>
      </c>
      <c r="Q112">
        <f t="shared" si="14"/>
        <v>0</v>
      </c>
      <c r="R112">
        <f t="shared" si="15"/>
        <v>0</v>
      </c>
    </row>
    <row r="113" spans="2:18" x14ac:dyDescent="0.2">
      <c r="B113" s="1209"/>
      <c r="C113" s="1210"/>
      <c r="D113" s="939"/>
      <c r="E113" s="1211" t="str">
        <f t="shared" si="10"/>
        <v xml:space="preserve"> </v>
      </c>
      <c r="G113" s="1212" t="str">
        <f t="shared" si="11"/>
        <v xml:space="preserve"> </v>
      </c>
      <c r="H113" s="1201"/>
      <c r="I113">
        <f t="shared" si="8"/>
        <v>0</v>
      </c>
      <c r="K113">
        <f t="shared" si="9"/>
        <v>0</v>
      </c>
      <c r="L113" s="1213"/>
      <c r="N113" s="1214" t="str">
        <f t="shared" si="12"/>
        <v xml:space="preserve"> </v>
      </c>
      <c r="O113" s="1215" t="str">
        <f t="shared" si="13"/>
        <v xml:space="preserve"> </v>
      </c>
      <c r="Q113">
        <f t="shared" si="14"/>
        <v>0</v>
      </c>
      <c r="R113">
        <f t="shared" si="15"/>
        <v>0</v>
      </c>
    </row>
    <row r="114" spans="2:18" x14ac:dyDescent="0.2">
      <c r="B114" s="1209"/>
      <c r="C114" s="1210"/>
      <c r="D114" s="939"/>
      <c r="E114" s="1211" t="str">
        <f t="shared" si="10"/>
        <v xml:space="preserve"> </v>
      </c>
      <c r="G114" s="1212" t="str">
        <f t="shared" si="11"/>
        <v xml:space="preserve"> </v>
      </c>
      <c r="H114" s="1201"/>
      <c r="I114">
        <f t="shared" si="8"/>
        <v>0</v>
      </c>
      <c r="K114">
        <f t="shared" si="9"/>
        <v>0</v>
      </c>
      <c r="L114" s="1213"/>
      <c r="N114" s="1214" t="str">
        <f t="shared" si="12"/>
        <v xml:space="preserve"> </v>
      </c>
      <c r="O114" s="1215" t="str">
        <f t="shared" si="13"/>
        <v xml:space="preserve"> </v>
      </c>
      <c r="Q114">
        <f t="shared" si="14"/>
        <v>0</v>
      </c>
      <c r="R114">
        <f t="shared" si="15"/>
        <v>0</v>
      </c>
    </row>
    <row r="115" spans="2:18" x14ac:dyDescent="0.2">
      <c r="B115" s="1209"/>
      <c r="C115" s="1210"/>
      <c r="D115" s="939"/>
      <c r="E115" s="1211" t="str">
        <f t="shared" si="10"/>
        <v xml:space="preserve"> </v>
      </c>
      <c r="G115" s="1212" t="str">
        <f t="shared" si="11"/>
        <v xml:space="preserve"> </v>
      </c>
      <c r="H115" s="1201"/>
      <c r="I115">
        <f t="shared" si="8"/>
        <v>0</v>
      </c>
      <c r="K115">
        <f t="shared" si="9"/>
        <v>0</v>
      </c>
      <c r="L115" s="1213"/>
      <c r="N115" s="1214" t="str">
        <f t="shared" si="12"/>
        <v xml:space="preserve"> </v>
      </c>
      <c r="O115" s="1215" t="str">
        <f t="shared" si="13"/>
        <v xml:space="preserve"> </v>
      </c>
      <c r="Q115">
        <f t="shared" si="14"/>
        <v>0</v>
      </c>
      <c r="R115">
        <f t="shared" si="15"/>
        <v>0</v>
      </c>
    </row>
    <row r="116" spans="2:18" x14ac:dyDescent="0.2">
      <c r="B116" s="1209"/>
      <c r="C116" s="1210"/>
      <c r="D116" s="939"/>
      <c r="E116" s="1211" t="str">
        <f t="shared" si="10"/>
        <v xml:space="preserve"> </v>
      </c>
      <c r="G116" s="1212" t="str">
        <f t="shared" si="11"/>
        <v xml:space="preserve"> </v>
      </c>
      <c r="H116" s="1201"/>
      <c r="I116">
        <f t="shared" si="8"/>
        <v>0</v>
      </c>
      <c r="K116">
        <f t="shared" si="9"/>
        <v>0</v>
      </c>
      <c r="L116" s="1213"/>
      <c r="N116" s="1214" t="str">
        <f t="shared" si="12"/>
        <v xml:space="preserve"> </v>
      </c>
      <c r="O116" s="1215" t="str">
        <f t="shared" si="13"/>
        <v xml:space="preserve"> </v>
      </c>
      <c r="Q116">
        <f t="shared" si="14"/>
        <v>0</v>
      </c>
      <c r="R116">
        <f t="shared" si="15"/>
        <v>0</v>
      </c>
    </row>
    <row r="117" spans="2:18" x14ac:dyDescent="0.2">
      <c r="B117" s="1209"/>
      <c r="C117" s="1210"/>
      <c r="D117" s="939"/>
      <c r="E117" s="1211" t="str">
        <f t="shared" si="10"/>
        <v xml:space="preserve"> </v>
      </c>
      <c r="G117" s="1212" t="str">
        <f t="shared" si="11"/>
        <v xml:space="preserve"> </v>
      </c>
      <c r="H117" s="1201"/>
      <c r="I117">
        <f t="shared" si="8"/>
        <v>0</v>
      </c>
      <c r="K117">
        <f t="shared" si="9"/>
        <v>0</v>
      </c>
      <c r="L117" s="1213"/>
      <c r="N117" s="1214" t="str">
        <f t="shared" si="12"/>
        <v xml:space="preserve"> </v>
      </c>
      <c r="O117" s="1215" t="str">
        <f t="shared" si="13"/>
        <v xml:space="preserve"> </v>
      </c>
      <c r="Q117">
        <f t="shared" si="14"/>
        <v>0</v>
      </c>
      <c r="R117">
        <f t="shared" si="15"/>
        <v>0</v>
      </c>
    </row>
    <row r="118" spans="2:18" x14ac:dyDescent="0.2">
      <c r="B118" s="1209"/>
      <c r="C118" s="1210"/>
      <c r="D118" s="939"/>
      <c r="E118" s="1211" t="str">
        <f t="shared" si="10"/>
        <v xml:space="preserve"> </v>
      </c>
      <c r="G118" s="1212" t="str">
        <f t="shared" si="11"/>
        <v xml:space="preserve"> </v>
      </c>
      <c r="H118" s="1201"/>
      <c r="I118">
        <f t="shared" si="8"/>
        <v>0</v>
      </c>
      <c r="K118">
        <f t="shared" si="9"/>
        <v>0</v>
      </c>
      <c r="L118" s="1213"/>
      <c r="N118" s="1214" t="str">
        <f t="shared" si="12"/>
        <v xml:space="preserve"> </v>
      </c>
      <c r="O118" s="1215" t="str">
        <f t="shared" si="13"/>
        <v xml:space="preserve"> </v>
      </c>
      <c r="Q118">
        <f t="shared" si="14"/>
        <v>0</v>
      </c>
      <c r="R118">
        <f t="shared" si="15"/>
        <v>0</v>
      </c>
    </row>
    <row r="119" spans="2:18" x14ac:dyDescent="0.2">
      <c r="B119" s="1209"/>
      <c r="C119" s="1210"/>
      <c r="D119" s="939"/>
      <c r="E119" s="1211" t="str">
        <f t="shared" si="10"/>
        <v xml:space="preserve"> </v>
      </c>
      <c r="G119" s="1212" t="str">
        <f t="shared" si="11"/>
        <v xml:space="preserve"> </v>
      </c>
      <c r="H119" s="1201"/>
      <c r="I119">
        <f t="shared" si="8"/>
        <v>0</v>
      </c>
      <c r="K119">
        <f t="shared" si="9"/>
        <v>0</v>
      </c>
      <c r="L119" s="1213"/>
      <c r="N119" s="1214" t="str">
        <f t="shared" si="12"/>
        <v xml:space="preserve"> </v>
      </c>
      <c r="O119" s="1215" t="str">
        <f t="shared" si="13"/>
        <v xml:space="preserve"> </v>
      </c>
      <c r="Q119">
        <f t="shared" si="14"/>
        <v>0</v>
      </c>
      <c r="R119">
        <f t="shared" si="15"/>
        <v>0</v>
      </c>
    </row>
    <row r="120" spans="2:18" x14ac:dyDescent="0.2">
      <c r="B120" s="1209"/>
      <c r="C120" s="1210"/>
      <c r="D120" s="939"/>
      <c r="E120" s="1211" t="str">
        <f t="shared" si="10"/>
        <v xml:space="preserve"> </v>
      </c>
      <c r="G120" s="1212" t="str">
        <f t="shared" si="11"/>
        <v xml:space="preserve"> </v>
      </c>
      <c r="H120" s="1201"/>
      <c r="I120">
        <f t="shared" si="8"/>
        <v>0</v>
      </c>
      <c r="K120">
        <f t="shared" si="9"/>
        <v>0</v>
      </c>
      <c r="L120" s="1213"/>
      <c r="N120" s="1214" t="str">
        <f t="shared" si="12"/>
        <v xml:space="preserve"> </v>
      </c>
      <c r="O120" s="1215" t="str">
        <f t="shared" si="13"/>
        <v xml:space="preserve"> </v>
      </c>
      <c r="Q120">
        <f t="shared" si="14"/>
        <v>0</v>
      </c>
      <c r="R120">
        <f t="shared" si="15"/>
        <v>0</v>
      </c>
    </row>
    <row r="121" spans="2:18" x14ac:dyDescent="0.2">
      <c r="B121" s="1209"/>
      <c r="C121" s="1210"/>
      <c r="D121" s="939"/>
      <c r="E121" s="1211" t="str">
        <f t="shared" si="10"/>
        <v xml:space="preserve"> </v>
      </c>
      <c r="G121" s="1212" t="str">
        <f t="shared" si="11"/>
        <v xml:space="preserve"> </v>
      </c>
      <c r="H121" s="1201"/>
      <c r="I121">
        <f t="shared" si="8"/>
        <v>0</v>
      </c>
      <c r="K121">
        <f t="shared" si="9"/>
        <v>0</v>
      </c>
      <c r="L121" s="1213"/>
      <c r="N121" s="1214" t="str">
        <f t="shared" si="12"/>
        <v xml:space="preserve"> </v>
      </c>
      <c r="O121" s="1215" t="str">
        <f t="shared" si="13"/>
        <v xml:space="preserve"> </v>
      </c>
      <c r="Q121">
        <f t="shared" si="14"/>
        <v>0</v>
      </c>
      <c r="R121">
        <f t="shared" si="15"/>
        <v>0</v>
      </c>
    </row>
    <row r="122" spans="2:18" x14ac:dyDescent="0.2">
      <c r="B122" s="1209"/>
      <c r="C122" s="1210"/>
      <c r="D122" s="939"/>
      <c r="E122" s="1211" t="str">
        <f t="shared" si="10"/>
        <v xml:space="preserve"> </v>
      </c>
      <c r="G122" s="1212" t="str">
        <f t="shared" si="11"/>
        <v xml:space="preserve"> </v>
      </c>
      <c r="H122" s="1201"/>
      <c r="I122">
        <f t="shared" si="8"/>
        <v>0</v>
      </c>
      <c r="K122">
        <f t="shared" si="9"/>
        <v>0</v>
      </c>
      <c r="L122" s="1213"/>
      <c r="N122" s="1214" t="str">
        <f t="shared" si="12"/>
        <v xml:space="preserve"> </v>
      </c>
      <c r="O122" s="1215" t="str">
        <f t="shared" si="13"/>
        <v xml:space="preserve"> </v>
      </c>
      <c r="Q122">
        <f t="shared" si="14"/>
        <v>0</v>
      </c>
      <c r="R122">
        <f t="shared" si="15"/>
        <v>0</v>
      </c>
    </row>
    <row r="123" spans="2:18" x14ac:dyDescent="0.2">
      <c r="B123" s="1209"/>
      <c r="C123" s="1210"/>
      <c r="D123" s="939"/>
      <c r="E123" s="1211" t="str">
        <f t="shared" si="10"/>
        <v xml:space="preserve"> </v>
      </c>
      <c r="G123" s="1212" t="str">
        <f t="shared" si="11"/>
        <v xml:space="preserve"> </v>
      </c>
      <c r="H123" s="1201"/>
      <c r="I123">
        <f t="shared" si="8"/>
        <v>0</v>
      </c>
      <c r="K123">
        <f t="shared" si="9"/>
        <v>0</v>
      </c>
      <c r="L123" s="1213"/>
      <c r="N123" s="1214" t="str">
        <f t="shared" si="12"/>
        <v xml:space="preserve"> </v>
      </c>
      <c r="O123" s="1215" t="str">
        <f t="shared" si="13"/>
        <v xml:space="preserve"> </v>
      </c>
      <c r="Q123">
        <f t="shared" si="14"/>
        <v>0</v>
      </c>
      <c r="R123">
        <f t="shared" si="15"/>
        <v>0</v>
      </c>
    </row>
    <row r="124" spans="2:18" x14ac:dyDescent="0.2">
      <c r="B124" s="1209"/>
      <c r="C124" s="1210"/>
      <c r="D124" s="939"/>
      <c r="E124" s="1211" t="str">
        <f t="shared" si="10"/>
        <v xml:space="preserve"> </v>
      </c>
      <c r="G124" s="1212" t="str">
        <f t="shared" si="11"/>
        <v xml:space="preserve"> </v>
      </c>
      <c r="H124" s="1201"/>
      <c r="I124">
        <f t="shared" si="8"/>
        <v>0</v>
      </c>
      <c r="K124">
        <f t="shared" si="9"/>
        <v>0</v>
      </c>
      <c r="L124" s="1213"/>
      <c r="N124" s="1214" t="str">
        <f t="shared" si="12"/>
        <v xml:space="preserve"> </v>
      </c>
      <c r="O124" s="1215" t="str">
        <f t="shared" si="13"/>
        <v xml:space="preserve"> </v>
      </c>
      <c r="Q124">
        <f t="shared" si="14"/>
        <v>0</v>
      </c>
      <c r="R124">
        <f t="shared" si="15"/>
        <v>0</v>
      </c>
    </row>
    <row r="125" spans="2:18" x14ac:dyDescent="0.2">
      <c r="B125" s="1209"/>
      <c r="C125" s="1210"/>
      <c r="D125" s="939"/>
      <c r="E125" s="1211" t="str">
        <f t="shared" si="10"/>
        <v xml:space="preserve"> </v>
      </c>
      <c r="G125" s="1212" t="str">
        <f t="shared" si="11"/>
        <v xml:space="preserve"> </v>
      </c>
      <c r="H125" s="1201"/>
      <c r="I125">
        <f t="shared" si="8"/>
        <v>0</v>
      </c>
      <c r="K125">
        <f t="shared" si="9"/>
        <v>0</v>
      </c>
      <c r="L125" s="1213"/>
      <c r="N125" s="1214" t="str">
        <f t="shared" si="12"/>
        <v xml:space="preserve"> </v>
      </c>
      <c r="O125" s="1215" t="str">
        <f t="shared" si="13"/>
        <v xml:space="preserve"> </v>
      </c>
      <c r="Q125">
        <f t="shared" si="14"/>
        <v>0</v>
      </c>
      <c r="R125">
        <f t="shared" si="15"/>
        <v>0</v>
      </c>
    </row>
    <row r="126" spans="2:18" x14ac:dyDescent="0.2">
      <c r="B126" s="1209"/>
      <c r="C126" s="1210"/>
      <c r="D126" s="939"/>
      <c r="E126" s="1211" t="str">
        <f t="shared" si="10"/>
        <v xml:space="preserve"> </v>
      </c>
      <c r="G126" s="1212" t="str">
        <f t="shared" si="11"/>
        <v xml:space="preserve"> </v>
      </c>
      <c r="H126" s="1201"/>
      <c r="I126">
        <f t="shared" si="8"/>
        <v>0</v>
      </c>
      <c r="K126">
        <f t="shared" si="9"/>
        <v>0</v>
      </c>
      <c r="L126" s="1213"/>
      <c r="N126" s="1214" t="str">
        <f t="shared" si="12"/>
        <v xml:space="preserve"> </v>
      </c>
      <c r="O126" s="1215" t="str">
        <f t="shared" si="13"/>
        <v xml:space="preserve"> </v>
      </c>
      <c r="Q126">
        <f t="shared" si="14"/>
        <v>0</v>
      </c>
      <c r="R126">
        <f t="shared" si="15"/>
        <v>0</v>
      </c>
    </row>
    <row r="127" spans="2:18" x14ac:dyDescent="0.2">
      <c r="B127" s="1209"/>
      <c r="C127" s="1210"/>
      <c r="D127" s="939"/>
      <c r="E127" s="1211" t="str">
        <f t="shared" si="10"/>
        <v xml:space="preserve"> </v>
      </c>
      <c r="G127" s="1212" t="str">
        <f t="shared" si="11"/>
        <v xml:space="preserve"> </v>
      </c>
      <c r="H127" s="1201"/>
      <c r="I127">
        <f t="shared" si="8"/>
        <v>0</v>
      </c>
      <c r="K127">
        <f t="shared" si="9"/>
        <v>0</v>
      </c>
      <c r="L127" s="1213"/>
      <c r="N127" s="1214" t="str">
        <f t="shared" si="12"/>
        <v xml:space="preserve"> </v>
      </c>
      <c r="O127" s="1215" t="str">
        <f t="shared" si="13"/>
        <v xml:space="preserve"> </v>
      </c>
      <c r="Q127">
        <f t="shared" si="14"/>
        <v>0</v>
      </c>
      <c r="R127">
        <f t="shared" si="15"/>
        <v>0</v>
      </c>
    </row>
    <row r="128" spans="2:18" x14ac:dyDescent="0.2">
      <c r="B128" s="1209"/>
      <c r="C128" s="1210"/>
      <c r="D128" s="939"/>
      <c r="E128" s="1211" t="str">
        <f t="shared" si="10"/>
        <v xml:space="preserve"> </v>
      </c>
      <c r="G128" s="1212" t="str">
        <f t="shared" si="11"/>
        <v xml:space="preserve"> </v>
      </c>
      <c r="H128" s="1201"/>
      <c r="I128">
        <f t="shared" si="8"/>
        <v>0</v>
      </c>
      <c r="K128">
        <f t="shared" si="9"/>
        <v>0</v>
      </c>
      <c r="L128" s="1213"/>
      <c r="N128" s="1214" t="str">
        <f t="shared" si="12"/>
        <v xml:space="preserve"> </v>
      </c>
      <c r="O128" s="1215" t="str">
        <f t="shared" si="13"/>
        <v xml:space="preserve"> </v>
      </c>
      <c r="Q128">
        <f t="shared" si="14"/>
        <v>0</v>
      </c>
      <c r="R128">
        <f t="shared" si="15"/>
        <v>0</v>
      </c>
    </row>
    <row r="129" spans="2:18" x14ac:dyDescent="0.2">
      <c r="B129" s="1209"/>
      <c r="C129" s="1210"/>
      <c r="D129" s="939"/>
      <c r="E129" s="1211" t="str">
        <f t="shared" si="10"/>
        <v xml:space="preserve"> </v>
      </c>
      <c r="G129" s="1212" t="str">
        <f t="shared" si="11"/>
        <v xml:space="preserve"> </v>
      </c>
      <c r="H129" s="1201"/>
      <c r="I129">
        <f t="shared" si="8"/>
        <v>0</v>
      </c>
      <c r="K129">
        <f t="shared" si="9"/>
        <v>0</v>
      </c>
      <c r="L129" s="1213"/>
      <c r="N129" s="1214" t="str">
        <f t="shared" si="12"/>
        <v xml:space="preserve"> </v>
      </c>
      <c r="O129" s="1215" t="str">
        <f t="shared" si="13"/>
        <v xml:space="preserve"> </v>
      </c>
      <c r="Q129">
        <f t="shared" si="14"/>
        <v>0</v>
      </c>
      <c r="R129">
        <f t="shared" si="15"/>
        <v>0</v>
      </c>
    </row>
    <row r="130" spans="2:18" x14ac:dyDescent="0.2">
      <c r="B130" s="1209"/>
      <c r="C130" s="1210"/>
      <c r="D130" s="939"/>
      <c r="E130" s="1211" t="str">
        <f t="shared" si="10"/>
        <v xml:space="preserve"> </v>
      </c>
      <c r="G130" s="1212" t="str">
        <f t="shared" si="11"/>
        <v xml:space="preserve"> </v>
      </c>
      <c r="H130" s="1201"/>
      <c r="I130">
        <f t="shared" si="8"/>
        <v>0</v>
      </c>
      <c r="K130">
        <f t="shared" si="9"/>
        <v>0</v>
      </c>
      <c r="L130" s="1213"/>
      <c r="N130" s="1214" t="str">
        <f t="shared" si="12"/>
        <v xml:space="preserve"> </v>
      </c>
      <c r="O130" s="1215" t="str">
        <f t="shared" si="13"/>
        <v xml:space="preserve"> </v>
      </c>
      <c r="Q130">
        <f t="shared" si="14"/>
        <v>0</v>
      </c>
      <c r="R130">
        <f t="shared" si="15"/>
        <v>0</v>
      </c>
    </row>
    <row r="131" spans="2:18" x14ac:dyDescent="0.2">
      <c r="B131" s="1209"/>
      <c r="C131" s="1210"/>
      <c r="D131" s="939"/>
      <c r="E131" s="1211" t="str">
        <f t="shared" si="10"/>
        <v xml:space="preserve"> </v>
      </c>
      <c r="G131" s="1212" t="str">
        <f t="shared" si="11"/>
        <v xml:space="preserve"> </v>
      </c>
      <c r="H131" s="1201"/>
      <c r="I131">
        <f t="shared" si="8"/>
        <v>0</v>
      </c>
      <c r="K131">
        <f t="shared" si="9"/>
        <v>0</v>
      </c>
      <c r="L131" s="1213"/>
      <c r="N131" s="1214" t="str">
        <f t="shared" si="12"/>
        <v xml:space="preserve"> </v>
      </c>
      <c r="O131" s="1215" t="str">
        <f t="shared" si="13"/>
        <v xml:space="preserve"> </v>
      </c>
      <c r="Q131">
        <f t="shared" si="14"/>
        <v>0</v>
      </c>
      <c r="R131">
        <f t="shared" si="15"/>
        <v>0</v>
      </c>
    </row>
    <row r="132" spans="2:18" x14ac:dyDescent="0.2">
      <c r="B132" s="1209"/>
      <c r="C132" s="1210"/>
      <c r="D132" s="939"/>
      <c r="E132" s="1211" t="str">
        <f t="shared" si="10"/>
        <v xml:space="preserve"> </v>
      </c>
      <c r="G132" s="1212" t="str">
        <f t="shared" si="11"/>
        <v xml:space="preserve"> </v>
      </c>
      <c r="H132" s="1201"/>
      <c r="I132">
        <f t="shared" si="8"/>
        <v>0</v>
      </c>
      <c r="K132">
        <f t="shared" si="9"/>
        <v>0</v>
      </c>
      <c r="L132" s="1213"/>
      <c r="N132" s="1214" t="str">
        <f t="shared" si="12"/>
        <v xml:space="preserve"> </v>
      </c>
      <c r="O132" s="1215" t="str">
        <f t="shared" si="13"/>
        <v xml:space="preserve"> </v>
      </c>
      <c r="Q132">
        <f t="shared" si="14"/>
        <v>0</v>
      </c>
      <c r="R132">
        <f t="shared" si="15"/>
        <v>0</v>
      </c>
    </row>
    <row r="133" spans="2:18" x14ac:dyDescent="0.2">
      <c r="B133" s="1209"/>
      <c r="C133" s="1210"/>
      <c r="D133" s="939"/>
      <c r="E133" s="1211" t="str">
        <f t="shared" si="10"/>
        <v xml:space="preserve"> </v>
      </c>
      <c r="G133" s="1212" t="str">
        <f t="shared" si="11"/>
        <v xml:space="preserve"> </v>
      </c>
      <c r="H133" s="1201"/>
      <c r="I133">
        <f t="shared" si="8"/>
        <v>0</v>
      </c>
      <c r="K133">
        <f t="shared" si="9"/>
        <v>0</v>
      </c>
      <c r="L133" s="1213"/>
      <c r="N133" s="1214" t="str">
        <f t="shared" si="12"/>
        <v xml:space="preserve"> </v>
      </c>
      <c r="O133" s="1215" t="str">
        <f t="shared" si="13"/>
        <v xml:space="preserve"> </v>
      </c>
      <c r="Q133">
        <f t="shared" si="14"/>
        <v>0</v>
      </c>
      <c r="R133">
        <f t="shared" si="15"/>
        <v>0</v>
      </c>
    </row>
    <row r="134" spans="2:18" x14ac:dyDescent="0.2">
      <c r="B134" s="1209"/>
      <c r="C134" s="1210"/>
      <c r="D134" s="939"/>
      <c r="E134" s="1211" t="str">
        <f t="shared" si="10"/>
        <v xml:space="preserve"> </v>
      </c>
      <c r="G134" s="1212" t="str">
        <f t="shared" si="11"/>
        <v xml:space="preserve"> </v>
      </c>
      <c r="H134" s="1201"/>
      <c r="I134">
        <f t="shared" si="8"/>
        <v>0</v>
      </c>
      <c r="K134">
        <f t="shared" si="9"/>
        <v>0</v>
      </c>
      <c r="L134" s="1213"/>
      <c r="N134" s="1214" t="str">
        <f t="shared" si="12"/>
        <v xml:space="preserve"> </v>
      </c>
      <c r="O134" s="1215" t="str">
        <f t="shared" si="13"/>
        <v xml:space="preserve"> </v>
      </c>
      <c r="Q134">
        <f t="shared" si="14"/>
        <v>0</v>
      </c>
      <c r="R134">
        <f t="shared" si="15"/>
        <v>0</v>
      </c>
    </row>
    <row r="135" spans="2:18" x14ac:dyDescent="0.2">
      <c r="B135" s="1209"/>
      <c r="C135" s="1210"/>
      <c r="D135" s="939"/>
      <c r="E135" s="1211" t="str">
        <f t="shared" si="10"/>
        <v xml:space="preserve"> </v>
      </c>
      <c r="G135" s="1212" t="str">
        <f t="shared" si="11"/>
        <v xml:space="preserve"> </v>
      </c>
      <c r="H135" s="1201"/>
      <c r="I135">
        <f t="shared" si="8"/>
        <v>0</v>
      </c>
      <c r="K135">
        <f t="shared" si="9"/>
        <v>0</v>
      </c>
      <c r="L135" s="1213"/>
      <c r="N135" s="1214" t="str">
        <f t="shared" si="12"/>
        <v xml:space="preserve"> </v>
      </c>
      <c r="O135" s="1215" t="str">
        <f t="shared" si="13"/>
        <v xml:space="preserve"> </v>
      </c>
      <c r="Q135">
        <f t="shared" si="14"/>
        <v>0</v>
      </c>
      <c r="R135">
        <f t="shared" si="15"/>
        <v>0</v>
      </c>
    </row>
    <row r="136" spans="2:18" x14ac:dyDescent="0.2">
      <c r="B136" s="1209"/>
      <c r="C136" s="1210"/>
      <c r="D136" s="939"/>
      <c r="E136" s="1211" t="str">
        <f t="shared" si="10"/>
        <v xml:space="preserve"> </v>
      </c>
      <c r="G136" s="1212" t="str">
        <f t="shared" si="11"/>
        <v xml:space="preserve"> </v>
      </c>
      <c r="H136" s="1201"/>
      <c r="I136">
        <f t="shared" ref="I136:I199" si="16">(J136+C136)/12</f>
        <v>0</v>
      </c>
      <c r="K136">
        <f t="shared" ref="K136:K199" si="17">I136+B136</f>
        <v>0</v>
      </c>
      <c r="L136" s="1213"/>
      <c r="N136" s="1214" t="str">
        <f t="shared" si="12"/>
        <v xml:space="preserve"> </v>
      </c>
      <c r="O136" s="1215" t="str">
        <f t="shared" si="13"/>
        <v xml:space="preserve"> </v>
      </c>
      <c r="Q136">
        <f t="shared" si="14"/>
        <v>0</v>
      </c>
      <c r="R136">
        <f t="shared" si="15"/>
        <v>0</v>
      </c>
    </row>
    <row r="137" spans="2:18" x14ac:dyDescent="0.2">
      <c r="B137" s="1209"/>
      <c r="C137" s="1210"/>
      <c r="D137" s="939"/>
      <c r="E137" s="1211" t="str">
        <f t="shared" si="10"/>
        <v xml:space="preserve"> </v>
      </c>
      <c r="G137" s="1212" t="str">
        <f t="shared" si="11"/>
        <v xml:space="preserve"> </v>
      </c>
      <c r="H137" s="1201"/>
      <c r="I137">
        <f t="shared" si="16"/>
        <v>0</v>
      </c>
      <c r="K137">
        <f t="shared" si="17"/>
        <v>0</v>
      </c>
      <c r="L137" s="1213"/>
      <c r="N137" s="1214" t="str">
        <f t="shared" si="12"/>
        <v xml:space="preserve"> </v>
      </c>
      <c r="O137" s="1215" t="str">
        <f t="shared" si="13"/>
        <v xml:space="preserve"> </v>
      </c>
      <c r="Q137">
        <f t="shared" si="14"/>
        <v>0</v>
      </c>
      <c r="R137">
        <f t="shared" si="15"/>
        <v>0</v>
      </c>
    </row>
    <row r="138" spans="2:18" x14ac:dyDescent="0.2">
      <c r="B138" s="1209"/>
      <c r="C138" s="1210"/>
      <c r="D138" s="939"/>
      <c r="E138" s="1211" t="str">
        <f t="shared" ref="E138:E201" si="18">IF(K138=0," ",IF(K138&gt;0,K138*12*25.4))</f>
        <v xml:space="preserve"> </v>
      </c>
      <c r="G138" s="1212" t="str">
        <f t="shared" ref="G138:G201" si="19">IF(K138=0," ",IF(K138&gt;0,E138/1000))</f>
        <v xml:space="preserve"> </v>
      </c>
      <c r="H138" s="1201"/>
      <c r="I138">
        <f t="shared" si="16"/>
        <v>0</v>
      </c>
      <c r="K138">
        <f t="shared" si="17"/>
        <v>0</v>
      </c>
      <c r="L138" s="1213"/>
      <c r="N138" s="1214" t="str">
        <f t="shared" ref="N138:N201" si="20">IF(R138=0," ",IF(R138&gt;0,TRUNC(R138)))</f>
        <v xml:space="preserve"> </v>
      </c>
      <c r="O138" s="1215" t="str">
        <f t="shared" ref="O138:O201" si="21">IF(R138=0," ",IF(R138&gt;0,(R138-N138)*12))</f>
        <v xml:space="preserve"> </v>
      </c>
      <c r="Q138">
        <f t="shared" ref="Q138:Q201" si="22">L138/25.4</f>
        <v>0</v>
      </c>
      <c r="R138">
        <f t="shared" ref="R138:R201" si="23">Q138/12</f>
        <v>0</v>
      </c>
    </row>
    <row r="139" spans="2:18" x14ac:dyDescent="0.2">
      <c r="B139" s="1209"/>
      <c r="C139" s="1210"/>
      <c r="D139" s="939"/>
      <c r="E139" s="1211" t="str">
        <f t="shared" si="18"/>
        <v xml:space="preserve"> </v>
      </c>
      <c r="G139" s="1212" t="str">
        <f t="shared" si="19"/>
        <v xml:space="preserve"> </v>
      </c>
      <c r="H139" s="1201"/>
      <c r="I139">
        <f t="shared" si="16"/>
        <v>0</v>
      </c>
      <c r="K139">
        <f t="shared" si="17"/>
        <v>0</v>
      </c>
      <c r="L139" s="1213"/>
      <c r="N139" s="1214" t="str">
        <f t="shared" si="20"/>
        <v xml:space="preserve"> </v>
      </c>
      <c r="O139" s="1215" t="str">
        <f t="shared" si="21"/>
        <v xml:space="preserve"> </v>
      </c>
      <c r="Q139">
        <f t="shared" si="22"/>
        <v>0</v>
      </c>
      <c r="R139">
        <f t="shared" si="23"/>
        <v>0</v>
      </c>
    </row>
    <row r="140" spans="2:18" x14ac:dyDescent="0.2">
      <c r="B140" s="1209"/>
      <c r="C140" s="1210"/>
      <c r="D140" s="939"/>
      <c r="E140" s="1211" t="str">
        <f t="shared" si="18"/>
        <v xml:space="preserve"> </v>
      </c>
      <c r="G140" s="1212" t="str">
        <f t="shared" si="19"/>
        <v xml:space="preserve"> </v>
      </c>
      <c r="H140" s="1201"/>
      <c r="I140">
        <f t="shared" si="16"/>
        <v>0</v>
      </c>
      <c r="K140">
        <f t="shared" si="17"/>
        <v>0</v>
      </c>
      <c r="L140" s="1213"/>
      <c r="N140" s="1214" t="str">
        <f t="shared" si="20"/>
        <v xml:space="preserve"> </v>
      </c>
      <c r="O140" s="1215" t="str">
        <f t="shared" si="21"/>
        <v xml:space="preserve"> </v>
      </c>
      <c r="Q140">
        <f t="shared" si="22"/>
        <v>0</v>
      </c>
      <c r="R140">
        <f t="shared" si="23"/>
        <v>0</v>
      </c>
    </row>
    <row r="141" spans="2:18" x14ac:dyDescent="0.2">
      <c r="B141" s="1209"/>
      <c r="C141" s="1210"/>
      <c r="D141" s="939"/>
      <c r="E141" s="1211" t="str">
        <f t="shared" si="18"/>
        <v xml:space="preserve"> </v>
      </c>
      <c r="G141" s="1212" t="str">
        <f t="shared" si="19"/>
        <v xml:space="preserve"> </v>
      </c>
      <c r="H141" s="1201"/>
      <c r="I141">
        <f t="shared" si="16"/>
        <v>0</v>
      </c>
      <c r="K141">
        <f t="shared" si="17"/>
        <v>0</v>
      </c>
      <c r="L141" s="1213"/>
      <c r="N141" s="1214" t="str">
        <f t="shared" si="20"/>
        <v xml:space="preserve"> </v>
      </c>
      <c r="O141" s="1215" t="str">
        <f t="shared" si="21"/>
        <v xml:space="preserve"> </v>
      </c>
      <c r="Q141">
        <f t="shared" si="22"/>
        <v>0</v>
      </c>
      <c r="R141">
        <f t="shared" si="23"/>
        <v>0</v>
      </c>
    </row>
    <row r="142" spans="2:18" x14ac:dyDescent="0.2">
      <c r="B142" s="1209"/>
      <c r="C142" s="1210"/>
      <c r="D142" s="939"/>
      <c r="E142" s="1211" t="str">
        <f t="shared" si="18"/>
        <v xml:space="preserve"> </v>
      </c>
      <c r="G142" s="1212" t="str">
        <f t="shared" si="19"/>
        <v xml:space="preserve"> </v>
      </c>
      <c r="H142" s="1201"/>
      <c r="I142">
        <f t="shared" si="16"/>
        <v>0</v>
      </c>
      <c r="K142">
        <f t="shared" si="17"/>
        <v>0</v>
      </c>
      <c r="L142" s="1213"/>
      <c r="N142" s="1214" t="str">
        <f t="shared" si="20"/>
        <v xml:space="preserve"> </v>
      </c>
      <c r="O142" s="1215" t="str">
        <f t="shared" si="21"/>
        <v xml:space="preserve"> </v>
      </c>
      <c r="Q142">
        <f t="shared" si="22"/>
        <v>0</v>
      </c>
      <c r="R142">
        <f t="shared" si="23"/>
        <v>0</v>
      </c>
    </row>
    <row r="143" spans="2:18" x14ac:dyDescent="0.2">
      <c r="B143" s="1209"/>
      <c r="C143" s="1210"/>
      <c r="D143" s="939"/>
      <c r="E143" s="1211" t="str">
        <f t="shared" si="18"/>
        <v xml:space="preserve"> </v>
      </c>
      <c r="G143" s="1212" t="str">
        <f t="shared" si="19"/>
        <v xml:space="preserve"> </v>
      </c>
      <c r="H143" s="1201"/>
      <c r="I143">
        <f t="shared" si="16"/>
        <v>0</v>
      </c>
      <c r="K143">
        <f t="shared" si="17"/>
        <v>0</v>
      </c>
      <c r="L143" s="1213"/>
      <c r="N143" s="1214" t="str">
        <f t="shared" si="20"/>
        <v xml:space="preserve"> </v>
      </c>
      <c r="O143" s="1215" t="str">
        <f t="shared" si="21"/>
        <v xml:space="preserve"> </v>
      </c>
      <c r="Q143">
        <f t="shared" si="22"/>
        <v>0</v>
      </c>
      <c r="R143">
        <f t="shared" si="23"/>
        <v>0</v>
      </c>
    </row>
    <row r="144" spans="2:18" x14ac:dyDescent="0.2">
      <c r="B144" s="1209"/>
      <c r="C144" s="1210"/>
      <c r="D144" s="939"/>
      <c r="E144" s="1211" t="str">
        <f t="shared" si="18"/>
        <v xml:space="preserve"> </v>
      </c>
      <c r="G144" s="1212" t="str">
        <f t="shared" si="19"/>
        <v xml:space="preserve"> </v>
      </c>
      <c r="H144" s="1201"/>
      <c r="I144">
        <f t="shared" si="16"/>
        <v>0</v>
      </c>
      <c r="K144">
        <f t="shared" si="17"/>
        <v>0</v>
      </c>
      <c r="L144" s="1213"/>
      <c r="N144" s="1214" t="str">
        <f t="shared" si="20"/>
        <v xml:space="preserve"> </v>
      </c>
      <c r="O144" s="1215" t="str">
        <f t="shared" si="21"/>
        <v xml:space="preserve"> </v>
      </c>
      <c r="Q144">
        <f t="shared" si="22"/>
        <v>0</v>
      </c>
      <c r="R144">
        <f t="shared" si="23"/>
        <v>0</v>
      </c>
    </row>
    <row r="145" spans="2:18" x14ac:dyDescent="0.2">
      <c r="B145" s="1209"/>
      <c r="C145" s="1210"/>
      <c r="D145" s="939"/>
      <c r="E145" s="1211" t="str">
        <f t="shared" si="18"/>
        <v xml:space="preserve"> </v>
      </c>
      <c r="G145" s="1212" t="str">
        <f t="shared" si="19"/>
        <v xml:space="preserve"> </v>
      </c>
      <c r="H145" s="1201"/>
      <c r="I145">
        <f t="shared" si="16"/>
        <v>0</v>
      </c>
      <c r="K145">
        <f t="shared" si="17"/>
        <v>0</v>
      </c>
      <c r="L145" s="1213"/>
      <c r="N145" s="1214" t="str">
        <f t="shared" si="20"/>
        <v xml:space="preserve"> </v>
      </c>
      <c r="O145" s="1215" t="str">
        <f t="shared" si="21"/>
        <v xml:space="preserve"> </v>
      </c>
      <c r="Q145">
        <f t="shared" si="22"/>
        <v>0</v>
      </c>
      <c r="R145">
        <f t="shared" si="23"/>
        <v>0</v>
      </c>
    </row>
    <row r="146" spans="2:18" x14ac:dyDescent="0.2">
      <c r="B146" s="1209"/>
      <c r="C146" s="1210"/>
      <c r="D146" s="939"/>
      <c r="E146" s="1211" t="str">
        <f t="shared" si="18"/>
        <v xml:space="preserve"> </v>
      </c>
      <c r="G146" s="1212" t="str">
        <f t="shared" si="19"/>
        <v xml:space="preserve"> </v>
      </c>
      <c r="H146" s="1201"/>
      <c r="I146">
        <f t="shared" si="16"/>
        <v>0</v>
      </c>
      <c r="K146">
        <f t="shared" si="17"/>
        <v>0</v>
      </c>
      <c r="L146" s="1213"/>
      <c r="N146" s="1214" t="str">
        <f t="shared" si="20"/>
        <v xml:space="preserve"> </v>
      </c>
      <c r="O146" s="1215" t="str">
        <f t="shared" si="21"/>
        <v xml:space="preserve"> </v>
      </c>
      <c r="Q146">
        <f t="shared" si="22"/>
        <v>0</v>
      </c>
      <c r="R146">
        <f t="shared" si="23"/>
        <v>0</v>
      </c>
    </row>
    <row r="147" spans="2:18" x14ac:dyDescent="0.2">
      <c r="B147" s="1209"/>
      <c r="C147" s="1210"/>
      <c r="D147" s="939"/>
      <c r="E147" s="1211" t="str">
        <f t="shared" si="18"/>
        <v xml:space="preserve"> </v>
      </c>
      <c r="G147" s="1212" t="str">
        <f t="shared" si="19"/>
        <v xml:space="preserve"> </v>
      </c>
      <c r="H147" s="1201"/>
      <c r="I147">
        <f t="shared" si="16"/>
        <v>0</v>
      </c>
      <c r="K147">
        <f t="shared" si="17"/>
        <v>0</v>
      </c>
      <c r="L147" s="1213"/>
      <c r="N147" s="1214" t="str">
        <f t="shared" si="20"/>
        <v xml:space="preserve"> </v>
      </c>
      <c r="O147" s="1215" t="str">
        <f t="shared" si="21"/>
        <v xml:space="preserve"> </v>
      </c>
      <c r="Q147">
        <f t="shared" si="22"/>
        <v>0</v>
      </c>
      <c r="R147">
        <f t="shared" si="23"/>
        <v>0</v>
      </c>
    </row>
    <row r="148" spans="2:18" x14ac:dyDescent="0.2">
      <c r="B148" s="1209"/>
      <c r="C148" s="1210"/>
      <c r="D148" s="939"/>
      <c r="E148" s="1211" t="str">
        <f t="shared" si="18"/>
        <v xml:space="preserve"> </v>
      </c>
      <c r="G148" s="1212" t="str">
        <f t="shared" si="19"/>
        <v xml:space="preserve"> </v>
      </c>
      <c r="H148" s="1201"/>
      <c r="I148">
        <f t="shared" si="16"/>
        <v>0</v>
      </c>
      <c r="K148">
        <f t="shared" si="17"/>
        <v>0</v>
      </c>
      <c r="L148" s="1213"/>
      <c r="N148" s="1214" t="str">
        <f t="shared" si="20"/>
        <v xml:space="preserve"> </v>
      </c>
      <c r="O148" s="1215" t="str">
        <f t="shared" si="21"/>
        <v xml:space="preserve"> </v>
      </c>
      <c r="Q148">
        <f t="shared" si="22"/>
        <v>0</v>
      </c>
      <c r="R148">
        <f t="shared" si="23"/>
        <v>0</v>
      </c>
    </row>
    <row r="149" spans="2:18" x14ac:dyDescent="0.2">
      <c r="B149" s="1209"/>
      <c r="C149" s="1210"/>
      <c r="D149" s="939"/>
      <c r="E149" s="1211" t="str">
        <f t="shared" si="18"/>
        <v xml:space="preserve"> </v>
      </c>
      <c r="G149" s="1212" t="str">
        <f t="shared" si="19"/>
        <v xml:space="preserve"> </v>
      </c>
      <c r="H149" s="1201"/>
      <c r="I149">
        <f t="shared" si="16"/>
        <v>0</v>
      </c>
      <c r="K149">
        <f t="shared" si="17"/>
        <v>0</v>
      </c>
      <c r="L149" s="1213"/>
      <c r="N149" s="1214" t="str">
        <f t="shared" si="20"/>
        <v xml:space="preserve"> </v>
      </c>
      <c r="O149" s="1215" t="str">
        <f t="shared" si="21"/>
        <v xml:space="preserve"> </v>
      </c>
      <c r="Q149">
        <f t="shared" si="22"/>
        <v>0</v>
      </c>
      <c r="R149">
        <f t="shared" si="23"/>
        <v>0</v>
      </c>
    </row>
    <row r="150" spans="2:18" x14ac:dyDescent="0.2">
      <c r="B150" s="1209"/>
      <c r="C150" s="1210"/>
      <c r="D150" s="939"/>
      <c r="E150" s="1211" t="str">
        <f t="shared" si="18"/>
        <v xml:space="preserve"> </v>
      </c>
      <c r="G150" s="1212" t="str">
        <f t="shared" si="19"/>
        <v xml:space="preserve"> </v>
      </c>
      <c r="H150" s="1201"/>
      <c r="I150">
        <f t="shared" si="16"/>
        <v>0</v>
      </c>
      <c r="K150">
        <f t="shared" si="17"/>
        <v>0</v>
      </c>
      <c r="L150" s="1213"/>
      <c r="N150" s="1214" t="str">
        <f t="shared" si="20"/>
        <v xml:space="preserve"> </v>
      </c>
      <c r="O150" s="1215" t="str">
        <f t="shared" si="21"/>
        <v xml:space="preserve"> </v>
      </c>
      <c r="Q150">
        <f t="shared" si="22"/>
        <v>0</v>
      </c>
      <c r="R150">
        <f t="shared" si="23"/>
        <v>0</v>
      </c>
    </row>
    <row r="151" spans="2:18" x14ac:dyDescent="0.2">
      <c r="B151" s="1209"/>
      <c r="C151" s="1210"/>
      <c r="D151" s="939"/>
      <c r="E151" s="1211" t="str">
        <f t="shared" si="18"/>
        <v xml:space="preserve"> </v>
      </c>
      <c r="G151" s="1212" t="str">
        <f t="shared" si="19"/>
        <v xml:space="preserve"> </v>
      </c>
      <c r="H151" s="1201"/>
      <c r="I151">
        <f t="shared" si="16"/>
        <v>0</v>
      </c>
      <c r="K151">
        <f t="shared" si="17"/>
        <v>0</v>
      </c>
      <c r="L151" s="1213"/>
      <c r="N151" s="1214" t="str">
        <f t="shared" si="20"/>
        <v xml:space="preserve"> </v>
      </c>
      <c r="O151" s="1215" t="str">
        <f t="shared" si="21"/>
        <v xml:space="preserve"> </v>
      </c>
      <c r="Q151">
        <f t="shared" si="22"/>
        <v>0</v>
      </c>
      <c r="R151">
        <f t="shared" si="23"/>
        <v>0</v>
      </c>
    </row>
    <row r="152" spans="2:18" x14ac:dyDescent="0.2">
      <c r="B152" s="1209"/>
      <c r="C152" s="1210"/>
      <c r="D152" s="939"/>
      <c r="E152" s="1211" t="str">
        <f t="shared" si="18"/>
        <v xml:space="preserve"> </v>
      </c>
      <c r="G152" s="1212" t="str">
        <f t="shared" si="19"/>
        <v xml:space="preserve"> </v>
      </c>
      <c r="H152" s="1201"/>
      <c r="I152">
        <f t="shared" si="16"/>
        <v>0</v>
      </c>
      <c r="K152">
        <f t="shared" si="17"/>
        <v>0</v>
      </c>
      <c r="L152" s="1213"/>
      <c r="N152" s="1214" t="str">
        <f t="shared" si="20"/>
        <v xml:space="preserve"> </v>
      </c>
      <c r="O152" s="1215" t="str">
        <f t="shared" si="21"/>
        <v xml:space="preserve"> </v>
      </c>
      <c r="Q152">
        <f t="shared" si="22"/>
        <v>0</v>
      </c>
      <c r="R152">
        <f t="shared" si="23"/>
        <v>0</v>
      </c>
    </row>
    <row r="153" spans="2:18" x14ac:dyDescent="0.2">
      <c r="B153" s="1209"/>
      <c r="C153" s="1210"/>
      <c r="D153" s="939"/>
      <c r="E153" s="1211" t="str">
        <f t="shared" si="18"/>
        <v xml:space="preserve"> </v>
      </c>
      <c r="G153" s="1212" t="str">
        <f t="shared" si="19"/>
        <v xml:space="preserve"> </v>
      </c>
      <c r="H153" s="1201"/>
      <c r="I153">
        <f t="shared" si="16"/>
        <v>0</v>
      </c>
      <c r="K153">
        <f t="shared" si="17"/>
        <v>0</v>
      </c>
      <c r="L153" s="1213"/>
      <c r="N153" s="1214" t="str">
        <f t="shared" si="20"/>
        <v xml:space="preserve"> </v>
      </c>
      <c r="O153" s="1215" t="str">
        <f t="shared" si="21"/>
        <v xml:space="preserve"> </v>
      </c>
      <c r="Q153">
        <f t="shared" si="22"/>
        <v>0</v>
      </c>
      <c r="R153">
        <f t="shared" si="23"/>
        <v>0</v>
      </c>
    </row>
    <row r="154" spans="2:18" x14ac:dyDescent="0.2">
      <c r="B154" s="1209"/>
      <c r="C154" s="1210"/>
      <c r="D154" s="939"/>
      <c r="E154" s="1211" t="str">
        <f t="shared" si="18"/>
        <v xml:space="preserve"> </v>
      </c>
      <c r="G154" s="1212" t="str">
        <f t="shared" si="19"/>
        <v xml:space="preserve"> </v>
      </c>
      <c r="H154" s="1201"/>
      <c r="I154">
        <f t="shared" si="16"/>
        <v>0</v>
      </c>
      <c r="K154">
        <f t="shared" si="17"/>
        <v>0</v>
      </c>
      <c r="L154" s="1213"/>
      <c r="N154" s="1214" t="str">
        <f t="shared" si="20"/>
        <v xml:space="preserve"> </v>
      </c>
      <c r="O154" s="1215" t="str">
        <f t="shared" si="21"/>
        <v xml:space="preserve"> </v>
      </c>
      <c r="Q154">
        <f t="shared" si="22"/>
        <v>0</v>
      </c>
      <c r="R154">
        <f t="shared" si="23"/>
        <v>0</v>
      </c>
    </row>
    <row r="155" spans="2:18" x14ac:dyDescent="0.2">
      <c r="B155" s="1209"/>
      <c r="C155" s="1210"/>
      <c r="D155" s="939"/>
      <c r="E155" s="1211" t="str">
        <f t="shared" si="18"/>
        <v xml:space="preserve"> </v>
      </c>
      <c r="G155" s="1212" t="str">
        <f t="shared" si="19"/>
        <v xml:space="preserve"> </v>
      </c>
      <c r="H155" s="1201"/>
      <c r="I155">
        <f t="shared" si="16"/>
        <v>0</v>
      </c>
      <c r="K155">
        <f t="shared" si="17"/>
        <v>0</v>
      </c>
      <c r="L155" s="1213"/>
      <c r="N155" s="1214" t="str">
        <f t="shared" si="20"/>
        <v xml:space="preserve"> </v>
      </c>
      <c r="O155" s="1215" t="str">
        <f t="shared" si="21"/>
        <v xml:space="preserve"> </v>
      </c>
      <c r="Q155">
        <f t="shared" si="22"/>
        <v>0</v>
      </c>
      <c r="R155">
        <f t="shared" si="23"/>
        <v>0</v>
      </c>
    </row>
    <row r="156" spans="2:18" x14ac:dyDescent="0.2">
      <c r="B156" s="1209"/>
      <c r="C156" s="1210"/>
      <c r="D156" s="939"/>
      <c r="E156" s="1211" t="str">
        <f t="shared" si="18"/>
        <v xml:space="preserve"> </v>
      </c>
      <c r="G156" s="1212" t="str">
        <f t="shared" si="19"/>
        <v xml:space="preserve"> </v>
      </c>
      <c r="H156" s="1201"/>
      <c r="I156">
        <f t="shared" si="16"/>
        <v>0</v>
      </c>
      <c r="K156">
        <f t="shared" si="17"/>
        <v>0</v>
      </c>
      <c r="L156" s="1213"/>
      <c r="N156" s="1214" t="str">
        <f t="shared" si="20"/>
        <v xml:space="preserve"> </v>
      </c>
      <c r="O156" s="1215" t="str">
        <f t="shared" si="21"/>
        <v xml:space="preserve"> </v>
      </c>
      <c r="Q156">
        <f t="shared" si="22"/>
        <v>0</v>
      </c>
      <c r="R156">
        <f t="shared" si="23"/>
        <v>0</v>
      </c>
    </row>
    <row r="157" spans="2:18" x14ac:dyDescent="0.2">
      <c r="B157" s="1209"/>
      <c r="C157" s="1210"/>
      <c r="D157" s="939"/>
      <c r="E157" s="1211" t="str">
        <f t="shared" si="18"/>
        <v xml:space="preserve"> </v>
      </c>
      <c r="G157" s="1212" t="str">
        <f t="shared" si="19"/>
        <v xml:space="preserve"> </v>
      </c>
      <c r="H157" s="1201"/>
      <c r="I157">
        <f t="shared" si="16"/>
        <v>0</v>
      </c>
      <c r="K157">
        <f t="shared" si="17"/>
        <v>0</v>
      </c>
      <c r="L157" s="1213"/>
      <c r="N157" s="1214" t="str">
        <f t="shared" si="20"/>
        <v xml:space="preserve"> </v>
      </c>
      <c r="O157" s="1215" t="str">
        <f t="shared" si="21"/>
        <v xml:space="preserve"> </v>
      </c>
      <c r="Q157">
        <f t="shared" si="22"/>
        <v>0</v>
      </c>
      <c r="R157">
        <f t="shared" si="23"/>
        <v>0</v>
      </c>
    </row>
    <row r="158" spans="2:18" x14ac:dyDescent="0.2">
      <c r="B158" s="1209"/>
      <c r="C158" s="1210"/>
      <c r="D158" s="939"/>
      <c r="E158" s="1211" t="str">
        <f t="shared" si="18"/>
        <v xml:space="preserve"> </v>
      </c>
      <c r="G158" s="1212" t="str">
        <f t="shared" si="19"/>
        <v xml:space="preserve"> </v>
      </c>
      <c r="H158" s="1201"/>
      <c r="I158">
        <f t="shared" si="16"/>
        <v>0</v>
      </c>
      <c r="K158">
        <f t="shared" si="17"/>
        <v>0</v>
      </c>
      <c r="L158" s="1213"/>
      <c r="N158" s="1214" t="str">
        <f t="shared" si="20"/>
        <v xml:space="preserve"> </v>
      </c>
      <c r="O158" s="1215" t="str">
        <f t="shared" si="21"/>
        <v xml:space="preserve"> </v>
      </c>
      <c r="Q158">
        <f t="shared" si="22"/>
        <v>0</v>
      </c>
      <c r="R158">
        <f t="shared" si="23"/>
        <v>0</v>
      </c>
    </row>
    <row r="159" spans="2:18" x14ac:dyDescent="0.2">
      <c r="B159" s="1209"/>
      <c r="C159" s="1210"/>
      <c r="D159" s="939"/>
      <c r="E159" s="1211" t="str">
        <f t="shared" si="18"/>
        <v xml:space="preserve"> </v>
      </c>
      <c r="G159" s="1212" t="str">
        <f t="shared" si="19"/>
        <v xml:space="preserve"> </v>
      </c>
      <c r="H159" s="1201"/>
      <c r="I159">
        <f t="shared" si="16"/>
        <v>0</v>
      </c>
      <c r="K159">
        <f t="shared" si="17"/>
        <v>0</v>
      </c>
      <c r="L159" s="1213"/>
      <c r="N159" s="1214" t="str">
        <f t="shared" si="20"/>
        <v xml:space="preserve"> </v>
      </c>
      <c r="O159" s="1215" t="str">
        <f t="shared" si="21"/>
        <v xml:space="preserve"> </v>
      </c>
      <c r="Q159">
        <f t="shared" si="22"/>
        <v>0</v>
      </c>
      <c r="R159">
        <f t="shared" si="23"/>
        <v>0</v>
      </c>
    </row>
    <row r="160" spans="2:18" x14ac:dyDescent="0.2">
      <c r="B160" s="1209"/>
      <c r="C160" s="1210"/>
      <c r="D160" s="939"/>
      <c r="E160" s="1211" t="str">
        <f t="shared" si="18"/>
        <v xml:space="preserve"> </v>
      </c>
      <c r="G160" s="1212" t="str">
        <f t="shared" si="19"/>
        <v xml:space="preserve"> </v>
      </c>
      <c r="H160" s="1201"/>
      <c r="I160">
        <f t="shared" si="16"/>
        <v>0</v>
      </c>
      <c r="K160">
        <f t="shared" si="17"/>
        <v>0</v>
      </c>
      <c r="L160" s="1213"/>
      <c r="N160" s="1214" t="str">
        <f t="shared" si="20"/>
        <v xml:space="preserve"> </v>
      </c>
      <c r="O160" s="1215" t="str">
        <f t="shared" si="21"/>
        <v xml:space="preserve"> </v>
      </c>
      <c r="Q160">
        <f t="shared" si="22"/>
        <v>0</v>
      </c>
      <c r="R160">
        <f t="shared" si="23"/>
        <v>0</v>
      </c>
    </row>
    <row r="161" spans="2:18" x14ac:dyDescent="0.2">
      <c r="B161" s="1209"/>
      <c r="C161" s="1210"/>
      <c r="D161" s="939"/>
      <c r="E161" s="1211" t="str">
        <f t="shared" si="18"/>
        <v xml:space="preserve"> </v>
      </c>
      <c r="G161" s="1212" t="str">
        <f t="shared" si="19"/>
        <v xml:space="preserve"> </v>
      </c>
      <c r="H161" s="1201"/>
      <c r="I161">
        <f t="shared" si="16"/>
        <v>0</v>
      </c>
      <c r="K161">
        <f t="shared" si="17"/>
        <v>0</v>
      </c>
      <c r="L161" s="1213"/>
      <c r="N161" s="1214" t="str">
        <f t="shared" si="20"/>
        <v xml:space="preserve"> </v>
      </c>
      <c r="O161" s="1215" t="str">
        <f t="shared" si="21"/>
        <v xml:space="preserve"> </v>
      </c>
      <c r="Q161">
        <f t="shared" si="22"/>
        <v>0</v>
      </c>
      <c r="R161">
        <f t="shared" si="23"/>
        <v>0</v>
      </c>
    </row>
    <row r="162" spans="2:18" x14ac:dyDescent="0.2">
      <c r="B162" s="1209"/>
      <c r="C162" s="1210"/>
      <c r="D162" s="939"/>
      <c r="E162" s="1211" t="str">
        <f t="shared" si="18"/>
        <v xml:space="preserve"> </v>
      </c>
      <c r="G162" s="1212" t="str">
        <f t="shared" si="19"/>
        <v xml:space="preserve"> </v>
      </c>
      <c r="H162" s="1201"/>
      <c r="I162">
        <f t="shared" si="16"/>
        <v>0</v>
      </c>
      <c r="K162">
        <f t="shared" si="17"/>
        <v>0</v>
      </c>
      <c r="L162" s="1213"/>
      <c r="N162" s="1214" t="str">
        <f t="shared" si="20"/>
        <v xml:space="preserve"> </v>
      </c>
      <c r="O162" s="1215" t="str">
        <f t="shared" si="21"/>
        <v xml:space="preserve"> </v>
      </c>
      <c r="Q162">
        <f t="shared" si="22"/>
        <v>0</v>
      </c>
      <c r="R162">
        <f t="shared" si="23"/>
        <v>0</v>
      </c>
    </row>
    <row r="163" spans="2:18" x14ac:dyDescent="0.2">
      <c r="B163" s="1209"/>
      <c r="C163" s="1210"/>
      <c r="D163" s="939"/>
      <c r="E163" s="1211" t="str">
        <f t="shared" si="18"/>
        <v xml:space="preserve"> </v>
      </c>
      <c r="G163" s="1212" t="str">
        <f t="shared" si="19"/>
        <v xml:space="preserve"> </v>
      </c>
      <c r="H163" s="1201"/>
      <c r="I163">
        <f t="shared" si="16"/>
        <v>0</v>
      </c>
      <c r="K163">
        <f t="shared" si="17"/>
        <v>0</v>
      </c>
      <c r="L163" s="1213"/>
      <c r="N163" s="1214" t="str">
        <f t="shared" si="20"/>
        <v xml:space="preserve"> </v>
      </c>
      <c r="O163" s="1215" t="str">
        <f t="shared" si="21"/>
        <v xml:space="preserve"> </v>
      </c>
      <c r="Q163">
        <f t="shared" si="22"/>
        <v>0</v>
      </c>
      <c r="R163">
        <f t="shared" si="23"/>
        <v>0</v>
      </c>
    </row>
    <row r="164" spans="2:18" x14ac:dyDescent="0.2">
      <c r="B164" s="1209"/>
      <c r="C164" s="1210"/>
      <c r="D164" s="939"/>
      <c r="E164" s="1211" t="str">
        <f t="shared" si="18"/>
        <v xml:space="preserve"> </v>
      </c>
      <c r="G164" s="1212" t="str">
        <f t="shared" si="19"/>
        <v xml:space="preserve"> </v>
      </c>
      <c r="H164" s="1201"/>
      <c r="I164">
        <f t="shared" si="16"/>
        <v>0</v>
      </c>
      <c r="K164">
        <f t="shared" si="17"/>
        <v>0</v>
      </c>
      <c r="L164" s="1213"/>
      <c r="N164" s="1214" t="str">
        <f t="shared" si="20"/>
        <v xml:space="preserve"> </v>
      </c>
      <c r="O164" s="1215" t="str">
        <f t="shared" si="21"/>
        <v xml:space="preserve"> </v>
      </c>
      <c r="Q164">
        <f t="shared" si="22"/>
        <v>0</v>
      </c>
      <c r="R164">
        <f t="shared" si="23"/>
        <v>0</v>
      </c>
    </row>
    <row r="165" spans="2:18" x14ac:dyDescent="0.2">
      <c r="B165" s="1209"/>
      <c r="C165" s="1210"/>
      <c r="D165" s="939"/>
      <c r="E165" s="1211" t="str">
        <f t="shared" si="18"/>
        <v xml:space="preserve"> </v>
      </c>
      <c r="G165" s="1212" t="str">
        <f t="shared" si="19"/>
        <v xml:space="preserve"> </v>
      </c>
      <c r="H165" s="1201"/>
      <c r="I165">
        <f t="shared" si="16"/>
        <v>0</v>
      </c>
      <c r="K165">
        <f t="shared" si="17"/>
        <v>0</v>
      </c>
      <c r="L165" s="1213"/>
      <c r="N165" s="1214" t="str">
        <f t="shared" si="20"/>
        <v xml:space="preserve"> </v>
      </c>
      <c r="O165" s="1215" t="str">
        <f t="shared" si="21"/>
        <v xml:space="preserve"> </v>
      </c>
      <c r="Q165">
        <f t="shared" si="22"/>
        <v>0</v>
      </c>
      <c r="R165">
        <f t="shared" si="23"/>
        <v>0</v>
      </c>
    </row>
    <row r="166" spans="2:18" x14ac:dyDescent="0.2">
      <c r="B166" s="1209"/>
      <c r="C166" s="1210"/>
      <c r="D166" s="939"/>
      <c r="E166" s="1211" t="str">
        <f t="shared" si="18"/>
        <v xml:space="preserve"> </v>
      </c>
      <c r="G166" s="1212" t="str">
        <f t="shared" si="19"/>
        <v xml:space="preserve"> </v>
      </c>
      <c r="H166" s="1201"/>
      <c r="I166">
        <f t="shared" si="16"/>
        <v>0</v>
      </c>
      <c r="K166">
        <f t="shared" si="17"/>
        <v>0</v>
      </c>
      <c r="L166" s="1213"/>
      <c r="N166" s="1214" t="str">
        <f t="shared" si="20"/>
        <v xml:space="preserve"> </v>
      </c>
      <c r="O166" s="1215" t="str">
        <f t="shared" si="21"/>
        <v xml:space="preserve"> </v>
      </c>
      <c r="Q166">
        <f t="shared" si="22"/>
        <v>0</v>
      </c>
      <c r="R166">
        <f t="shared" si="23"/>
        <v>0</v>
      </c>
    </row>
    <row r="167" spans="2:18" x14ac:dyDescent="0.2">
      <c r="B167" s="1209"/>
      <c r="C167" s="1210"/>
      <c r="D167" s="939"/>
      <c r="E167" s="1211" t="str">
        <f t="shared" si="18"/>
        <v xml:space="preserve"> </v>
      </c>
      <c r="G167" s="1212" t="str">
        <f t="shared" si="19"/>
        <v xml:space="preserve"> </v>
      </c>
      <c r="H167" s="1201"/>
      <c r="I167">
        <f t="shared" si="16"/>
        <v>0</v>
      </c>
      <c r="K167">
        <f t="shared" si="17"/>
        <v>0</v>
      </c>
      <c r="L167" s="1213"/>
      <c r="N167" s="1214" t="str">
        <f t="shared" si="20"/>
        <v xml:space="preserve"> </v>
      </c>
      <c r="O167" s="1215" t="str">
        <f t="shared" si="21"/>
        <v xml:space="preserve"> </v>
      </c>
      <c r="Q167">
        <f t="shared" si="22"/>
        <v>0</v>
      </c>
      <c r="R167">
        <f t="shared" si="23"/>
        <v>0</v>
      </c>
    </row>
    <row r="168" spans="2:18" x14ac:dyDescent="0.2">
      <c r="B168" s="1209"/>
      <c r="C168" s="1210"/>
      <c r="D168" s="939"/>
      <c r="E168" s="1211" t="str">
        <f t="shared" si="18"/>
        <v xml:space="preserve"> </v>
      </c>
      <c r="G168" s="1212" t="str">
        <f t="shared" si="19"/>
        <v xml:space="preserve"> </v>
      </c>
      <c r="H168" s="1201"/>
      <c r="I168">
        <f t="shared" si="16"/>
        <v>0</v>
      </c>
      <c r="K168">
        <f t="shared" si="17"/>
        <v>0</v>
      </c>
      <c r="L168" s="1213"/>
      <c r="N168" s="1214" t="str">
        <f t="shared" si="20"/>
        <v xml:space="preserve"> </v>
      </c>
      <c r="O168" s="1215" t="str">
        <f t="shared" si="21"/>
        <v xml:space="preserve"> </v>
      </c>
      <c r="Q168">
        <f t="shared" si="22"/>
        <v>0</v>
      </c>
      <c r="R168">
        <f t="shared" si="23"/>
        <v>0</v>
      </c>
    </row>
    <row r="169" spans="2:18" x14ac:dyDescent="0.2">
      <c r="B169" s="1209"/>
      <c r="C169" s="1210"/>
      <c r="D169" s="939"/>
      <c r="E169" s="1211" t="str">
        <f t="shared" si="18"/>
        <v xml:space="preserve"> </v>
      </c>
      <c r="G169" s="1212" t="str">
        <f t="shared" si="19"/>
        <v xml:space="preserve"> </v>
      </c>
      <c r="H169" s="1201"/>
      <c r="I169">
        <f t="shared" si="16"/>
        <v>0</v>
      </c>
      <c r="K169">
        <f t="shared" si="17"/>
        <v>0</v>
      </c>
      <c r="L169" s="1213"/>
      <c r="N169" s="1214" t="str">
        <f t="shared" si="20"/>
        <v xml:space="preserve"> </v>
      </c>
      <c r="O169" s="1215" t="str">
        <f t="shared" si="21"/>
        <v xml:space="preserve"> </v>
      </c>
      <c r="Q169">
        <f t="shared" si="22"/>
        <v>0</v>
      </c>
      <c r="R169">
        <f t="shared" si="23"/>
        <v>0</v>
      </c>
    </row>
    <row r="170" spans="2:18" x14ac:dyDescent="0.2">
      <c r="B170" s="1209"/>
      <c r="C170" s="1210"/>
      <c r="D170" s="939"/>
      <c r="E170" s="1211" t="str">
        <f t="shared" si="18"/>
        <v xml:space="preserve"> </v>
      </c>
      <c r="G170" s="1212" t="str">
        <f t="shared" si="19"/>
        <v xml:space="preserve"> </v>
      </c>
      <c r="H170" s="1201"/>
      <c r="I170">
        <f t="shared" si="16"/>
        <v>0</v>
      </c>
      <c r="K170">
        <f t="shared" si="17"/>
        <v>0</v>
      </c>
      <c r="L170" s="1213"/>
      <c r="N170" s="1214" t="str">
        <f t="shared" si="20"/>
        <v xml:space="preserve"> </v>
      </c>
      <c r="O170" s="1215" t="str">
        <f t="shared" si="21"/>
        <v xml:space="preserve"> </v>
      </c>
      <c r="Q170">
        <f t="shared" si="22"/>
        <v>0</v>
      </c>
      <c r="R170">
        <f t="shared" si="23"/>
        <v>0</v>
      </c>
    </row>
    <row r="171" spans="2:18" x14ac:dyDescent="0.2">
      <c r="B171" s="1209"/>
      <c r="C171" s="1210"/>
      <c r="D171" s="939"/>
      <c r="E171" s="1211" t="str">
        <f t="shared" si="18"/>
        <v xml:space="preserve"> </v>
      </c>
      <c r="G171" s="1212" t="str">
        <f t="shared" si="19"/>
        <v xml:space="preserve"> </v>
      </c>
      <c r="H171" s="1201"/>
      <c r="I171">
        <f t="shared" si="16"/>
        <v>0</v>
      </c>
      <c r="K171">
        <f t="shared" si="17"/>
        <v>0</v>
      </c>
      <c r="L171" s="1213"/>
      <c r="N171" s="1214" t="str">
        <f t="shared" si="20"/>
        <v xml:space="preserve"> </v>
      </c>
      <c r="O171" s="1215" t="str">
        <f t="shared" si="21"/>
        <v xml:space="preserve"> </v>
      </c>
      <c r="Q171">
        <f t="shared" si="22"/>
        <v>0</v>
      </c>
      <c r="R171">
        <f t="shared" si="23"/>
        <v>0</v>
      </c>
    </row>
    <row r="172" spans="2:18" x14ac:dyDescent="0.2">
      <c r="B172" s="1209"/>
      <c r="C172" s="1210"/>
      <c r="D172" s="939"/>
      <c r="E172" s="1211" t="str">
        <f t="shared" si="18"/>
        <v xml:space="preserve"> </v>
      </c>
      <c r="G172" s="1212" t="str">
        <f t="shared" si="19"/>
        <v xml:space="preserve"> </v>
      </c>
      <c r="H172" s="1201"/>
      <c r="I172">
        <f t="shared" si="16"/>
        <v>0</v>
      </c>
      <c r="K172">
        <f t="shared" si="17"/>
        <v>0</v>
      </c>
      <c r="L172" s="1213"/>
      <c r="N172" s="1214" t="str">
        <f t="shared" si="20"/>
        <v xml:space="preserve"> </v>
      </c>
      <c r="O172" s="1215" t="str">
        <f t="shared" si="21"/>
        <v xml:space="preserve"> </v>
      </c>
      <c r="Q172">
        <f t="shared" si="22"/>
        <v>0</v>
      </c>
      <c r="R172">
        <f t="shared" si="23"/>
        <v>0</v>
      </c>
    </row>
    <row r="173" spans="2:18" x14ac:dyDescent="0.2">
      <c r="B173" s="1209"/>
      <c r="C173" s="1210"/>
      <c r="D173" s="939"/>
      <c r="E173" s="1211" t="str">
        <f t="shared" si="18"/>
        <v xml:space="preserve"> </v>
      </c>
      <c r="G173" s="1212" t="str">
        <f t="shared" si="19"/>
        <v xml:space="preserve"> </v>
      </c>
      <c r="H173" s="1201"/>
      <c r="I173">
        <f t="shared" si="16"/>
        <v>0</v>
      </c>
      <c r="K173">
        <f t="shared" si="17"/>
        <v>0</v>
      </c>
      <c r="L173" s="1213"/>
      <c r="N173" s="1214" t="str">
        <f t="shared" si="20"/>
        <v xml:space="preserve"> </v>
      </c>
      <c r="O173" s="1215" t="str">
        <f t="shared" si="21"/>
        <v xml:space="preserve"> </v>
      </c>
      <c r="Q173">
        <f t="shared" si="22"/>
        <v>0</v>
      </c>
      <c r="R173">
        <f t="shared" si="23"/>
        <v>0</v>
      </c>
    </row>
    <row r="174" spans="2:18" x14ac:dyDescent="0.2">
      <c r="B174" s="1209"/>
      <c r="C174" s="1210"/>
      <c r="D174" s="939"/>
      <c r="E174" s="1211" t="str">
        <f t="shared" si="18"/>
        <v xml:space="preserve"> </v>
      </c>
      <c r="G174" s="1212" t="str">
        <f t="shared" si="19"/>
        <v xml:space="preserve"> </v>
      </c>
      <c r="H174" s="1201"/>
      <c r="I174">
        <f t="shared" si="16"/>
        <v>0</v>
      </c>
      <c r="K174">
        <f t="shared" si="17"/>
        <v>0</v>
      </c>
      <c r="L174" s="1213"/>
      <c r="N174" s="1214" t="str">
        <f t="shared" si="20"/>
        <v xml:space="preserve"> </v>
      </c>
      <c r="O174" s="1215" t="str">
        <f t="shared" si="21"/>
        <v xml:space="preserve"> </v>
      </c>
      <c r="Q174">
        <f t="shared" si="22"/>
        <v>0</v>
      </c>
      <c r="R174">
        <f t="shared" si="23"/>
        <v>0</v>
      </c>
    </row>
    <row r="175" spans="2:18" x14ac:dyDescent="0.2">
      <c r="B175" s="1209"/>
      <c r="C175" s="1210"/>
      <c r="D175" s="939"/>
      <c r="E175" s="1211" t="str">
        <f t="shared" si="18"/>
        <v xml:space="preserve"> </v>
      </c>
      <c r="G175" s="1212" t="str">
        <f t="shared" si="19"/>
        <v xml:space="preserve"> </v>
      </c>
      <c r="H175" s="1201"/>
      <c r="I175">
        <f t="shared" si="16"/>
        <v>0</v>
      </c>
      <c r="K175">
        <f t="shared" si="17"/>
        <v>0</v>
      </c>
      <c r="L175" s="1213"/>
      <c r="N175" s="1214" t="str">
        <f t="shared" si="20"/>
        <v xml:space="preserve"> </v>
      </c>
      <c r="O175" s="1215" t="str">
        <f t="shared" si="21"/>
        <v xml:space="preserve"> </v>
      </c>
      <c r="Q175">
        <f t="shared" si="22"/>
        <v>0</v>
      </c>
      <c r="R175">
        <f t="shared" si="23"/>
        <v>0</v>
      </c>
    </row>
    <row r="176" spans="2:18" x14ac:dyDescent="0.2">
      <c r="B176" s="1209"/>
      <c r="C176" s="1210"/>
      <c r="D176" s="939"/>
      <c r="E176" s="1211" t="str">
        <f t="shared" si="18"/>
        <v xml:space="preserve"> </v>
      </c>
      <c r="G176" s="1212" t="str">
        <f t="shared" si="19"/>
        <v xml:space="preserve"> </v>
      </c>
      <c r="H176" s="1201"/>
      <c r="I176">
        <f t="shared" si="16"/>
        <v>0</v>
      </c>
      <c r="K176">
        <f t="shared" si="17"/>
        <v>0</v>
      </c>
      <c r="L176" s="1213"/>
      <c r="N176" s="1214" t="str">
        <f t="shared" si="20"/>
        <v xml:space="preserve"> </v>
      </c>
      <c r="O176" s="1215" t="str">
        <f t="shared" si="21"/>
        <v xml:space="preserve"> </v>
      </c>
      <c r="Q176">
        <f t="shared" si="22"/>
        <v>0</v>
      </c>
      <c r="R176">
        <f t="shared" si="23"/>
        <v>0</v>
      </c>
    </row>
    <row r="177" spans="2:18" x14ac:dyDescent="0.2">
      <c r="B177" s="1209"/>
      <c r="C177" s="1210"/>
      <c r="D177" s="939"/>
      <c r="E177" s="1211" t="str">
        <f t="shared" si="18"/>
        <v xml:space="preserve"> </v>
      </c>
      <c r="G177" s="1212" t="str">
        <f t="shared" si="19"/>
        <v xml:space="preserve"> </v>
      </c>
      <c r="H177" s="1201"/>
      <c r="I177">
        <f t="shared" si="16"/>
        <v>0</v>
      </c>
      <c r="K177">
        <f t="shared" si="17"/>
        <v>0</v>
      </c>
      <c r="L177" s="1213"/>
      <c r="N177" s="1214" t="str">
        <f t="shared" si="20"/>
        <v xml:space="preserve"> </v>
      </c>
      <c r="O177" s="1215" t="str">
        <f t="shared" si="21"/>
        <v xml:space="preserve"> </v>
      </c>
      <c r="Q177">
        <f t="shared" si="22"/>
        <v>0</v>
      </c>
      <c r="R177">
        <f t="shared" si="23"/>
        <v>0</v>
      </c>
    </row>
    <row r="178" spans="2:18" x14ac:dyDescent="0.2">
      <c r="B178" s="1209"/>
      <c r="C178" s="1210"/>
      <c r="D178" s="939"/>
      <c r="E178" s="1211" t="str">
        <f t="shared" si="18"/>
        <v xml:space="preserve"> </v>
      </c>
      <c r="G178" s="1212" t="str">
        <f t="shared" si="19"/>
        <v xml:space="preserve"> </v>
      </c>
      <c r="H178" s="1201"/>
      <c r="I178">
        <f t="shared" si="16"/>
        <v>0</v>
      </c>
      <c r="K178">
        <f t="shared" si="17"/>
        <v>0</v>
      </c>
      <c r="L178" s="1213"/>
      <c r="N178" s="1214" t="str">
        <f t="shared" si="20"/>
        <v xml:space="preserve"> </v>
      </c>
      <c r="O178" s="1215" t="str">
        <f t="shared" si="21"/>
        <v xml:space="preserve"> </v>
      </c>
      <c r="Q178">
        <f t="shared" si="22"/>
        <v>0</v>
      </c>
      <c r="R178">
        <f t="shared" si="23"/>
        <v>0</v>
      </c>
    </row>
    <row r="179" spans="2:18" x14ac:dyDescent="0.2">
      <c r="B179" s="1209"/>
      <c r="C179" s="1210"/>
      <c r="D179" s="939"/>
      <c r="E179" s="1211" t="str">
        <f t="shared" si="18"/>
        <v xml:space="preserve"> </v>
      </c>
      <c r="G179" s="1212" t="str">
        <f t="shared" si="19"/>
        <v xml:space="preserve"> </v>
      </c>
      <c r="H179" s="1201"/>
      <c r="I179">
        <f t="shared" si="16"/>
        <v>0</v>
      </c>
      <c r="K179">
        <f t="shared" si="17"/>
        <v>0</v>
      </c>
      <c r="L179" s="1213"/>
      <c r="N179" s="1214" t="str">
        <f t="shared" si="20"/>
        <v xml:space="preserve"> </v>
      </c>
      <c r="O179" s="1215" t="str">
        <f t="shared" si="21"/>
        <v xml:space="preserve"> </v>
      </c>
      <c r="Q179">
        <f t="shared" si="22"/>
        <v>0</v>
      </c>
      <c r="R179">
        <f t="shared" si="23"/>
        <v>0</v>
      </c>
    </row>
    <row r="180" spans="2:18" x14ac:dyDescent="0.2">
      <c r="B180" s="1209"/>
      <c r="C180" s="1210"/>
      <c r="D180" s="939"/>
      <c r="E180" s="1211" t="str">
        <f t="shared" si="18"/>
        <v xml:space="preserve"> </v>
      </c>
      <c r="G180" s="1212" t="str">
        <f t="shared" si="19"/>
        <v xml:space="preserve"> </v>
      </c>
      <c r="H180" s="1201"/>
      <c r="I180">
        <f t="shared" si="16"/>
        <v>0</v>
      </c>
      <c r="K180">
        <f t="shared" si="17"/>
        <v>0</v>
      </c>
      <c r="L180" s="1213"/>
      <c r="N180" s="1214" t="str">
        <f t="shared" si="20"/>
        <v xml:space="preserve"> </v>
      </c>
      <c r="O180" s="1215" t="str">
        <f t="shared" si="21"/>
        <v xml:space="preserve"> </v>
      </c>
      <c r="Q180">
        <f t="shared" si="22"/>
        <v>0</v>
      </c>
      <c r="R180">
        <f t="shared" si="23"/>
        <v>0</v>
      </c>
    </row>
    <row r="181" spans="2:18" x14ac:dyDescent="0.2">
      <c r="B181" s="1209"/>
      <c r="C181" s="1210"/>
      <c r="D181" s="939"/>
      <c r="E181" s="1211" t="str">
        <f t="shared" si="18"/>
        <v xml:space="preserve"> </v>
      </c>
      <c r="G181" s="1212" t="str">
        <f t="shared" si="19"/>
        <v xml:space="preserve"> </v>
      </c>
      <c r="H181" s="1201"/>
      <c r="I181">
        <f t="shared" si="16"/>
        <v>0</v>
      </c>
      <c r="K181">
        <f t="shared" si="17"/>
        <v>0</v>
      </c>
      <c r="L181" s="1213"/>
      <c r="N181" s="1214" t="str">
        <f t="shared" si="20"/>
        <v xml:space="preserve"> </v>
      </c>
      <c r="O181" s="1215" t="str">
        <f t="shared" si="21"/>
        <v xml:space="preserve"> </v>
      </c>
      <c r="Q181">
        <f t="shared" si="22"/>
        <v>0</v>
      </c>
      <c r="R181">
        <f t="shared" si="23"/>
        <v>0</v>
      </c>
    </row>
    <row r="182" spans="2:18" x14ac:dyDescent="0.2">
      <c r="B182" s="1209"/>
      <c r="C182" s="1210"/>
      <c r="D182" s="939"/>
      <c r="E182" s="1211" t="str">
        <f t="shared" si="18"/>
        <v xml:space="preserve"> </v>
      </c>
      <c r="G182" s="1212" t="str">
        <f t="shared" si="19"/>
        <v xml:space="preserve"> </v>
      </c>
      <c r="H182" s="1201"/>
      <c r="I182">
        <f t="shared" si="16"/>
        <v>0</v>
      </c>
      <c r="K182">
        <f t="shared" si="17"/>
        <v>0</v>
      </c>
      <c r="L182" s="1213"/>
      <c r="N182" s="1214" t="str">
        <f t="shared" si="20"/>
        <v xml:space="preserve"> </v>
      </c>
      <c r="O182" s="1215" t="str">
        <f t="shared" si="21"/>
        <v xml:space="preserve"> </v>
      </c>
      <c r="Q182">
        <f t="shared" si="22"/>
        <v>0</v>
      </c>
      <c r="R182">
        <f t="shared" si="23"/>
        <v>0</v>
      </c>
    </row>
    <row r="183" spans="2:18" x14ac:dyDescent="0.2">
      <c r="B183" s="1209"/>
      <c r="C183" s="1210"/>
      <c r="D183" s="939"/>
      <c r="E183" s="1211" t="str">
        <f t="shared" si="18"/>
        <v xml:space="preserve"> </v>
      </c>
      <c r="G183" s="1212" t="str">
        <f t="shared" si="19"/>
        <v xml:space="preserve"> </v>
      </c>
      <c r="H183" s="1201"/>
      <c r="I183">
        <f t="shared" si="16"/>
        <v>0</v>
      </c>
      <c r="K183">
        <f t="shared" si="17"/>
        <v>0</v>
      </c>
      <c r="L183" s="1213"/>
      <c r="N183" s="1214" t="str">
        <f t="shared" si="20"/>
        <v xml:space="preserve"> </v>
      </c>
      <c r="O183" s="1215" t="str">
        <f t="shared" si="21"/>
        <v xml:space="preserve"> </v>
      </c>
      <c r="Q183">
        <f t="shared" si="22"/>
        <v>0</v>
      </c>
      <c r="R183">
        <f t="shared" si="23"/>
        <v>0</v>
      </c>
    </row>
    <row r="184" spans="2:18" x14ac:dyDescent="0.2">
      <c r="B184" s="1209"/>
      <c r="C184" s="1210"/>
      <c r="D184" s="939"/>
      <c r="E184" s="1211" t="str">
        <f t="shared" si="18"/>
        <v xml:space="preserve"> </v>
      </c>
      <c r="G184" s="1212" t="str">
        <f t="shared" si="19"/>
        <v xml:space="preserve"> </v>
      </c>
      <c r="H184" s="1201"/>
      <c r="I184">
        <f t="shared" si="16"/>
        <v>0</v>
      </c>
      <c r="K184">
        <f t="shared" si="17"/>
        <v>0</v>
      </c>
      <c r="L184" s="1213"/>
      <c r="N184" s="1214" t="str">
        <f t="shared" si="20"/>
        <v xml:space="preserve"> </v>
      </c>
      <c r="O184" s="1215" t="str">
        <f t="shared" si="21"/>
        <v xml:space="preserve"> </v>
      </c>
      <c r="Q184">
        <f t="shared" si="22"/>
        <v>0</v>
      </c>
      <c r="R184">
        <f t="shared" si="23"/>
        <v>0</v>
      </c>
    </row>
    <row r="185" spans="2:18" x14ac:dyDescent="0.2">
      <c r="B185" s="1209"/>
      <c r="C185" s="1210"/>
      <c r="D185" s="939"/>
      <c r="E185" s="1211" t="str">
        <f t="shared" si="18"/>
        <v xml:space="preserve"> </v>
      </c>
      <c r="G185" s="1212" t="str">
        <f t="shared" si="19"/>
        <v xml:space="preserve"> </v>
      </c>
      <c r="H185" s="1201"/>
      <c r="I185">
        <f t="shared" si="16"/>
        <v>0</v>
      </c>
      <c r="K185">
        <f t="shared" si="17"/>
        <v>0</v>
      </c>
      <c r="L185" s="1213"/>
      <c r="N185" s="1214" t="str">
        <f t="shared" si="20"/>
        <v xml:space="preserve"> </v>
      </c>
      <c r="O185" s="1215" t="str">
        <f t="shared" si="21"/>
        <v xml:space="preserve"> </v>
      </c>
      <c r="Q185">
        <f t="shared" si="22"/>
        <v>0</v>
      </c>
      <c r="R185">
        <f t="shared" si="23"/>
        <v>0</v>
      </c>
    </row>
    <row r="186" spans="2:18" x14ac:dyDescent="0.2">
      <c r="B186" s="1209"/>
      <c r="C186" s="1210"/>
      <c r="D186" s="939"/>
      <c r="E186" s="1211" t="str">
        <f t="shared" si="18"/>
        <v xml:space="preserve"> </v>
      </c>
      <c r="G186" s="1212" t="str">
        <f t="shared" si="19"/>
        <v xml:space="preserve"> </v>
      </c>
      <c r="H186" s="1201"/>
      <c r="I186">
        <f t="shared" si="16"/>
        <v>0</v>
      </c>
      <c r="K186">
        <f t="shared" si="17"/>
        <v>0</v>
      </c>
      <c r="L186" s="1213"/>
      <c r="N186" s="1214" t="str">
        <f t="shared" si="20"/>
        <v xml:space="preserve"> </v>
      </c>
      <c r="O186" s="1215" t="str">
        <f t="shared" si="21"/>
        <v xml:space="preserve"> </v>
      </c>
      <c r="Q186">
        <f t="shared" si="22"/>
        <v>0</v>
      </c>
      <c r="R186">
        <f t="shared" si="23"/>
        <v>0</v>
      </c>
    </row>
    <row r="187" spans="2:18" x14ac:dyDescent="0.2">
      <c r="B187" s="1209"/>
      <c r="C187" s="1210"/>
      <c r="D187" s="939"/>
      <c r="E187" s="1211" t="str">
        <f t="shared" si="18"/>
        <v xml:space="preserve"> </v>
      </c>
      <c r="G187" s="1212" t="str">
        <f t="shared" si="19"/>
        <v xml:space="preserve"> </v>
      </c>
      <c r="H187" s="1201"/>
      <c r="I187">
        <f t="shared" si="16"/>
        <v>0</v>
      </c>
      <c r="K187">
        <f t="shared" si="17"/>
        <v>0</v>
      </c>
      <c r="L187" s="1213"/>
      <c r="N187" s="1214" t="str">
        <f t="shared" si="20"/>
        <v xml:space="preserve"> </v>
      </c>
      <c r="O187" s="1215" t="str">
        <f t="shared" si="21"/>
        <v xml:space="preserve"> </v>
      </c>
      <c r="Q187">
        <f t="shared" si="22"/>
        <v>0</v>
      </c>
      <c r="R187">
        <f t="shared" si="23"/>
        <v>0</v>
      </c>
    </row>
    <row r="188" spans="2:18" x14ac:dyDescent="0.2">
      <c r="B188" s="1209"/>
      <c r="C188" s="1210"/>
      <c r="D188" s="939"/>
      <c r="E188" s="1211" t="str">
        <f t="shared" si="18"/>
        <v xml:space="preserve"> </v>
      </c>
      <c r="G188" s="1212" t="str">
        <f t="shared" si="19"/>
        <v xml:space="preserve"> </v>
      </c>
      <c r="H188" s="1201"/>
      <c r="I188">
        <f t="shared" si="16"/>
        <v>0</v>
      </c>
      <c r="K188">
        <f t="shared" si="17"/>
        <v>0</v>
      </c>
      <c r="L188" s="1213"/>
      <c r="N188" s="1214" t="str">
        <f t="shared" si="20"/>
        <v xml:space="preserve"> </v>
      </c>
      <c r="O188" s="1215" t="str">
        <f t="shared" si="21"/>
        <v xml:space="preserve"> </v>
      </c>
      <c r="Q188">
        <f t="shared" si="22"/>
        <v>0</v>
      </c>
      <c r="R188">
        <f t="shared" si="23"/>
        <v>0</v>
      </c>
    </row>
    <row r="189" spans="2:18" x14ac:dyDescent="0.2">
      <c r="B189" s="1209"/>
      <c r="C189" s="1210"/>
      <c r="D189" s="939"/>
      <c r="E189" s="1211" t="str">
        <f t="shared" si="18"/>
        <v xml:space="preserve"> </v>
      </c>
      <c r="G189" s="1212" t="str">
        <f t="shared" si="19"/>
        <v xml:space="preserve"> </v>
      </c>
      <c r="H189" s="1201"/>
      <c r="I189">
        <f t="shared" si="16"/>
        <v>0</v>
      </c>
      <c r="K189">
        <f t="shared" si="17"/>
        <v>0</v>
      </c>
      <c r="L189" s="1213"/>
      <c r="N189" s="1214" t="str">
        <f t="shared" si="20"/>
        <v xml:space="preserve"> </v>
      </c>
      <c r="O189" s="1215" t="str">
        <f t="shared" si="21"/>
        <v xml:space="preserve"> </v>
      </c>
      <c r="Q189">
        <f t="shared" si="22"/>
        <v>0</v>
      </c>
      <c r="R189">
        <f t="shared" si="23"/>
        <v>0</v>
      </c>
    </row>
    <row r="190" spans="2:18" x14ac:dyDescent="0.2">
      <c r="B190" s="1209"/>
      <c r="C190" s="1210"/>
      <c r="D190" s="939"/>
      <c r="E190" s="1211" t="str">
        <f t="shared" si="18"/>
        <v xml:space="preserve"> </v>
      </c>
      <c r="G190" s="1212" t="str">
        <f t="shared" si="19"/>
        <v xml:space="preserve"> </v>
      </c>
      <c r="H190" s="1201"/>
      <c r="I190">
        <f t="shared" si="16"/>
        <v>0</v>
      </c>
      <c r="K190">
        <f t="shared" si="17"/>
        <v>0</v>
      </c>
      <c r="L190" s="1213"/>
      <c r="N190" s="1214" t="str">
        <f t="shared" si="20"/>
        <v xml:space="preserve"> </v>
      </c>
      <c r="O190" s="1215" t="str">
        <f t="shared" si="21"/>
        <v xml:space="preserve"> </v>
      </c>
      <c r="Q190">
        <f t="shared" si="22"/>
        <v>0</v>
      </c>
      <c r="R190">
        <f t="shared" si="23"/>
        <v>0</v>
      </c>
    </row>
    <row r="191" spans="2:18" x14ac:dyDescent="0.2">
      <c r="B191" s="1209"/>
      <c r="C191" s="1210"/>
      <c r="D191" s="939"/>
      <c r="E191" s="1211" t="str">
        <f t="shared" si="18"/>
        <v xml:space="preserve"> </v>
      </c>
      <c r="G191" s="1212" t="str">
        <f t="shared" si="19"/>
        <v xml:space="preserve"> </v>
      </c>
      <c r="H191" s="1201"/>
      <c r="I191">
        <f t="shared" si="16"/>
        <v>0</v>
      </c>
      <c r="K191">
        <f t="shared" si="17"/>
        <v>0</v>
      </c>
      <c r="L191" s="1213"/>
      <c r="N191" s="1214" t="str">
        <f t="shared" si="20"/>
        <v xml:space="preserve"> </v>
      </c>
      <c r="O191" s="1215" t="str">
        <f t="shared" si="21"/>
        <v xml:space="preserve"> </v>
      </c>
      <c r="Q191">
        <f t="shared" si="22"/>
        <v>0</v>
      </c>
      <c r="R191">
        <f t="shared" si="23"/>
        <v>0</v>
      </c>
    </row>
    <row r="192" spans="2:18" x14ac:dyDescent="0.2">
      <c r="B192" s="1209"/>
      <c r="C192" s="1210"/>
      <c r="D192" s="939"/>
      <c r="E192" s="1211" t="str">
        <f t="shared" si="18"/>
        <v xml:space="preserve"> </v>
      </c>
      <c r="G192" s="1212" t="str">
        <f t="shared" si="19"/>
        <v xml:space="preserve"> </v>
      </c>
      <c r="H192" s="1201"/>
      <c r="I192">
        <f t="shared" si="16"/>
        <v>0</v>
      </c>
      <c r="K192">
        <f t="shared" si="17"/>
        <v>0</v>
      </c>
      <c r="L192" s="1213"/>
      <c r="N192" s="1214" t="str">
        <f t="shared" si="20"/>
        <v xml:space="preserve"> </v>
      </c>
      <c r="O192" s="1215" t="str">
        <f t="shared" si="21"/>
        <v xml:space="preserve"> </v>
      </c>
      <c r="Q192">
        <f t="shared" si="22"/>
        <v>0</v>
      </c>
      <c r="R192">
        <f t="shared" si="23"/>
        <v>0</v>
      </c>
    </row>
    <row r="193" spans="2:18" x14ac:dyDescent="0.2">
      <c r="B193" s="1209"/>
      <c r="C193" s="1210"/>
      <c r="D193" s="939"/>
      <c r="E193" s="1211" t="str">
        <f t="shared" si="18"/>
        <v xml:space="preserve"> </v>
      </c>
      <c r="G193" s="1212" t="str">
        <f t="shared" si="19"/>
        <v xml:space="preserve"> </v>
      </c>
      <c r="H193" s="1201"/>
      <c r="I193">
        <f t="shared" si="16"/>
        <v>0</v>
      </c>
      <c r="K193">
        <f t="shared" si="17"/>
        <v>0</v>
      </c>
      <c r="L193" s="1213"/>
      <c r="N193" s="1214" t="str">
        <f t="shared" si="20"/>
        <v xml:space="preserve"> </v>
      </c>
      <c r="O193" s="1215" t="str">
        <f t="shared" si="21"/>
        <v xml:space="preserve"> </v>
      </c>
      <c r="Q193">
        <f t="shared" si="22"/>
        <v>0</v>
      </c>
      <c r="R193">
        <f t="shared" si="23"/>
        <v>0</v>
      </c>
    </row>
    <row r="194" spans="2:18" x14ac:dyDescent="0.2">
      <c r="B194" s="1209"/>
      <c r="C194" s="1210"/>
      <c r="D194" s="939"/>
      <c r="E194" s="1211" t="str">
        <f t="shared" si="18"/>
        <v xml:space="preserve"> </v>
      </c>
      <c r="G194" s="1212" t="str">
        <f t="shared" si="19"/>
        <v xml:space="preserve"> </v>
      </c>
      <c r="H194" s="1201"/>
      <c r="I194">
        <f t="shared" si="16"/>
        <v>0</v>
      </c>
      <c r="K194">
        <f t="shared" si="17"/>
        <v>0</v>
      </c>
      <c r="L194" s="1213"/>
      <c r="N194" s="1214" t="str">
        <f t="shared" si="20"/>
        <v xml:space="preserve"> </v>
      </c>
      <c r="O194" s="1215" t="str">
        <f t="shared" si="21"/>
        <v xml:space="preserve"> </v>
      </c>
      <c r="Q194">
        <f t="shared" si="22"/>
        <v>0</v>
      </c>
      <c r="R194">
        <f t="shared" si="23"/>
        <v>0</v>
      </c>
    </row>
    <row r="195" spans="2:18" x14ac:dyDescent="0.2">
      <c r="B195" s="1209"/>
      <c r="C195" s="1210"/>
      <c r="D195" s="939"/>
      <c r="E195" s="1211" t="str">
        <f t="shared" si="18"/>
        <v xml:space="preserve"> </v>
      </c>
      <c r="G195" s="1212" t="str">
        <f t="shared" si="19"/>
        <v xml:space="preserve"> </v>
      </c>
      <c r="H195" s="1201"/>
      <c r="I195">
        <f t="shared" si="16"/>
        <v>0</v>
      </c>
      <c r="K195">
        <f t="shared" si="17"/>
        <v>0</v>
      </c>
      <c r="L195" s="1213"/>
      <c r="N195" s="1214" t="str">
        <f t="shared" si="20"/>
        <v xml:space="preserve"> </v>
      </c>
      <c r="O195" s="1215" t="str">
        <f t="shared" si="21"/>
        <v xml:space="preserve"> </v>
      </c>
      <c r="Q195">
        <f t="shared" si="22"/>
        <v>0</v>
      </c>
      <c r="R195">
        <f t="shared" si="23"/>
        <v>0</v>
      </c>
    </row>
    <row r="196" spans="2:18" x14ac:dyDescent="0.2">
      <c r="B196" s="1209"/>
      <c r="C196" s="1210"/>
      <c r="D196" s="939"/>
      <c r="E196" s="1211" t="str">
        <f t="shared" si="18"/>
        <v xml:space="preserve"> </v>
      </c>
      <c r="G196" s="1212" t="str">
        <f t="shared" si="19"/>
        <v xml:space="preserve"> </v>
      </c>
      <c r="H196" s="1201"/>
      <c r="I196">
        <f t="shared" si="16"/>
        <v>0</v>
      </c>
      <c r="K196">
        <f t="shared" si="17"/>
        <v>0</v>
      </c>
      <c r="L196" s="1213"/>
      <c r="N196" s="1214" t="str">
        <f t="shared" si="20"/>
        <v xml:space="preserve"> </v>
      </c>
      <c r="O196" s="1215" t="str">
        <f t="shared" si="21"/>
        <v xml:space="preserve"> </v>
      </c>
      <c r="Q196">
        <f t="shared" si="22"/>
        <v>0</v>
      </c>
      <c r="R196">
        <f t="shared" si="23"/>
        <v>0</v>
      </c>
    </row>
    <row r="197" spans="2:18" x14ac:dyDescent="0.2">
      <c r="B197" s="1209"/>
      <c r="C197" s="1210"/>
      <c r="D197" s="939"/>
      <c r="E197" s="1211" t="str">
        <f t="shared" si="18"/>
        <v xml:space="preserve"> </v>
      </c>
      <c r="G197" s="1212" t="str">
        <f t="shared" si="19"/>
        <v xml:space="preserve"> </v>
      </c>
      <c r="H197" s="1201"/>
      <c r="I197">
        <f t="shared" si="16"/>
        <v>0</v>
      </c>
      <c r="K197">
        <f t="shared" si="17"/>
        <v>0</v>
      </c>
      <c r="L197" s="1213"/>
      <c r="N197" s="1214" t="str">
        <f t="shared" si="20"/>
        <v xml:space="preserve"> </v>
      </c>
      <c r="O197" s="1215" t="str">
        <f t="shared" si="21"/>
        <v xml:space="preserve"> </v>
      </c>
      <c r="Q197">
        <f t="shared" si="22"/>
        <v>0</v>
      </c>
      <c r="R197">
        <f t="shared" si="23"/>
        <v>0</v>
      </c>
    </row>
    <row r="198" spans="2:18" x14ac:dyDescent="0.2">
      <c r="B198" s="1209"/>
      <c r="C198" s="1210"/>
      <c r="D198" s="939"/>
      <c r="E198" s="1211" t="str">
        <f t="shared" si="18"/>
        <v xml:space="preserve"> </v>
      </c>
      <c r="G198" s="1212" t="str">
        <f t="shared" si="19"/>
        <v xml:space="preserve"> </v>
      </c>
      <c r="H198" s="1201"/>
      <c r="I198">
        <f t="shared" si="16"/>
        <v>0</v>
      </c>
      <c r="K198">
        <f t="shared" si="17"/>
        <v>0</v>
      </c>
      <c r="L198" s="1213"/>
      <c r="N198" s="1214" t="str">
        <f t="shared" si="20"/>
        <v xml:space="preserve"> </v>
      </c>
      <c r="O198" s="1215" t="str">
        <f t="shared" si="21"/>
        <v xml:space="preserve"> </v>
      </c>
      <c r="Q198">
        <f t="shared" si="22"/>
        <v>0</v>
      </c>
      <c r="R198">
        <f t="shared" si="23"/>
        <v>0</v>
      </c>
    </row>
    <row r="199" spans="2:18" x14ac:dyDescent="0.2">
      <c r="B199" s="1209"/>
      <c r="C199" s="1210"/>
      <c r="D199" s="939"/>
      <c r="E199" s="1211" t="str">
        <f t="shared" si="18"/>
        <v xml:space="preserve"> </v>
      </c>
      <c r="G199" s="1212" t="str">
        <f t="shared" si="19"/>
        <v xml:space="preserve"> </v>
      </c>
      <c r="H199" s="1201"/>
      <c r="I199">
        <f t="shared" si="16"/>
        <v>0</v>
      </c>
      <c r="K199">
        <f t="shared" si="17"/>
        <v>0</v>
      </c>
      <c r="L199" s="1213"/>
      <c r="N199" s="1214" t="str">
        <f t="shared" si="20"/>
        <v xml:space="preserve"> </v>
      </c>
      <c r="O199" s="1215" t="str">
        <f t="shared" si="21"/>
        <v xml:space="preserve"> </v>
      </c>
      <c r="Q199">
        <f t="shared" si="22"/>
        <v>0</v>
      </c>
      <c r="R199">
        <f t="shared" si="23"/>
        <v>0</v>
      </c>
    </row>
    <row r="200" spans="2:18" x14ac:dyDescent="0.2">
      <c r="B200" s="1209"/>
      <c r="C200" s="1210"/>
      <c r="D200" s="939"/>
      <c r="E200" s="1211" t="str">
        <f t="shared" si="18"/>
        <v xml:space="preserve"> </v>
      </c>
      <c r="G200" s="1212" t="str">
        <f t="shared" si="19"/>
        <v xml:space="preserve"> </v>
      </c>
      <c r="H200" s="1201"/>
      <c r="I200">
        <f t="shared" ref="I200:I263" si="24">(J200+C200)/12</f>
        <v>0</v>
      </c>
      <c r="K200">
        <f t="shared" ref="K200:K263" si="25">I200+B200</f>
        <v>0</v>
      </c>
      <c r="L200" s="1213"/>
      <c r="N200" s="1214" t="str">
        <f t="shared" si="20"/>
        <v xml:space="preserve"> </v>
      </c>
      <c r="O200" s="1215" t="str">
        <f t="shared" si="21"/>
        <v xml:space="preserve"> </v>
      </c>
      <c r="Q200">
        <f t="shared" si="22"/>
        <v>0</v>
      </c>
      <c r="R200">
        <f t="shared" si="23"/>
        <v>0</v>
      </c>
    </row>
    <row r="201" spans="2:18" x14ac:dyDescent="0.2">
      <c r="B201" s="1209"/>
      <c r="C201" s="1210"/>
      <c r="D201" s="939"/>
      <c r="E201" s="1211" t="str">
        <f t="shared" si="18"/>
        <v xml:space="preserve"> </v>
      </c>
      <c r="G201" s="1212" t="str">
        <f t="shared" si="19"/>
        <v xml:space="preserve"> </v>
      </c>
      <c r="H201" s="1201"/>
      <c r="I201">
        <f t="shared" si="24"/>
        <v>0</v>
      </c>
      <c r="K201">
        <f t="shared" si="25"/>
        <v>0</v>
      </c>
      <c r="L201" s="1213"/>
      <c r="N201" s="1214" t="str">
        <f t="shared" si="20"/>
        <v xml:space="preserve"> </v>
      </c>
      <c r="O201" s="1215" t="str">
        <f t="shared" si="21"/>
        <v xml:space="preserve"> </v>
      </c>
      <c r="Q201">
        <f t="shared" si="22"/>
        <v>0</v>
      </c>
      <c r="R201">
        <f t="shared" si="23"/>
        <v>0</v>
      </c>
    </row>
    <row r="202" spans="2:18" x14ac:dyDescent="0.2">
      <c r="B202" s="1209"/>
      <c r="C202" s="1210"/>
      <c r="D202" s="939"/>
      <c r="E202" s="1211" t="str">
        <f t="shared" ref="E202:E265" si="26">IF(K202=0," ",IF(K202&gt;0,K202*12*25.4))</f>
        <v xml:space="preserve"> </v>
      </c>
      <c r="G202" s="1212" t="str">
        <f t="shared" ref="G202:G265" si="27">IF(K202=0," ",IF(K202&gt;0,E202/1000))</f>
        <v xml:space="preserve"> </v>
      </c>
      <c r="H202" s="1201"/>
      <c r="I202">
        <f t="shared" si="24"/>
        <v>0</v>
      </c>
      <c r="K202">
        <f t="shared" si="25"/>
        <v>0</v>
      </c>
      <c r="L202" s="1213"/>
      <c r="N202" s="1214" t="str">
        <f t="shared" ref="N202:N265" si="28">IF(R202=0," ",IF(R202&gt;0,TRUNC(R202)))</f>
        <v xml:space="preserve"> </v>
      </c>
      <c r="O202" s="1215" t="str">
        <f t="shared" ref="O202:O265" si="29">IF(R202=0," ",IF(R202&gt;0,(R202-N202)*12))</f>
        <v xml:space="preserve"> </v>
      </c>
      <c r="Q202">
        <f t="shared" ref="Q202:Q265" si="30">L202/25.4</f>
        <v>0</v>
      </c>
      <c r="R202">
        <f t="shared" ref="R202:R265" si="31">Q202/12</f>
        <v>0</v>
      </c>
    </row>
    <row r="203" spans="2:18" x14ac:dyDescent="0.2">
      <c r="B203" s="1209"/>
      <c r="C203" s="1210"/>
      <c r="D203" s="939"/>
      <c r="E203" s="1211" t="str">
        <f t="shared" si="26"/>
        <v xml:space="preserve"> </v>
      </c>
      <c r="G203" s="1212" t="str">
        <f t="shared" si="27"/>
        <v xml:space="preserve"> </v>
      </c>
      <c r="H203" s="1201"/>
      <c r="I203">
        <f t="shared" si="24"/>
        <v>0</v>
      </c>
      <c r="K203">
        <f t="shared" si="25"/>
        <v>0</v>
      </c>
      <c r="L203" s="1213"/>
      <c r="N203" s="1214" t="str">
        <f t="shared" si="28"/>
        <v xml:space="preserve"> </v>
      </c>
      <c r="O203" s="1215" t="str">
        <f t="shared" si="29"/>
        <v xml:space="preserve"> </v>
      </c>
      <c r="Q203">
        <f t="shared" si="30"/>
        <v>0</v>
      </c>
      <c r="R203">
        <f t="shared" si="31"/>
        <v>0</v>
      </c>
    </row>
    <row r="204" spans="2:18" x14ac:dyDescent="0.2">
      <c r="B204" s="1209"/>
      <c r="C204" s="1210"/>
      <c r="D204" s="939"/>
      <c r="E204" s="1211" t="str">
        <f t="shared" si="26"/>
        <v xml:space="preserve"> </v>
      </c>
      <c r="G204" s="1212" t="str">
        <f t="shared" si="27"/>
        <v xml:space="preserve"> </v>
      </c>
      <c r="H204" s="1201"/>
      <c r="I204">
        <f t="shared" si="24"/>
        <v>0</v>
      </c>
      <c r="K204">
        <f t="shared" si="25"/>
        <v>0</v>
      </c>
      <c r="L204" s="1213"/>
      <c r="N204" s="1214" t="str">
        <f t="shared" si="28"/>
        <v xml:space="preserve"> </v>
      </c>
      <c r="O204" s="1215" t="str">
        <f t="shared" si="29"/>
        <v xml:space="preserve"> </v>
      </c>
      <c r="Q204">
        <f t="shared" si="30"/>
        <v>0</v>
      </c>
      <c r="R204">
        <f t="shared" si="31"/>
        <v>0</v>
      </c>
    </row>
    <row r="205" spans="2:18" x14ac:dyDescent="0.2">
      <c r="B205" s="1209"/>
      <c r="C205" s="1210"/>
      <c r="D205" s="939"/>
      <c r="E205" s="1211" t="str">
        <f t="shared" si="26"/>
        <v xml:space="preserve"> </v>
      </c>
      <c r="G205" s="1212" t="str">
        <f t="shared" si="27"/>
        <v xml:space="preserve"> </v>
      </c>
      <c r="H205" s="1201"/>
      <c r="I205">
        <f t="shared" si="24"/>
        <v>0</v>
      </c>
      <c r="K205">
        <f t="shared" si="25"/>
        <v>0</v>
      </c>
      <c r="L205" s="1213"/>
      <c r="N205" s="1214" t="str">
        <f t="shared" si="28"/>
        <v xml:space="preserve"> </v>
      </c>
      <c r="O205" s="1215" t="str">
        <f t="shared" si="29"/>
        <v xml:space="preserve"> </v>
      </c>
      <c r="Q205">
        <f t="shared" si="30"/>
        <v>0</v>
      </c>
      <c r="R205">
        <f t="shared" si="31"/>
        <v>0</v>
      </c>
    </row>
    <row r="206" spans="2:18" x14ac:dyDescent="0.2">
      <c r="B206" s="1209"/>
      <c r="C206" s="1210"/>
      <c r="D206" s="939"/>
      <c r="E206" s="1211" t="str">
        <f t="shared" si="26"/>
        <v xml:space="preserve"> </v>
      </c>
      <c r="G206" s="1212" t="str">
        <f t="shared" si="27"/>
        <v xml:space="preserve"> </v>
      </c>
      <c r="H206" s="1201"/>
      <c r="I206">
        <f t="shared" si="24"/>
        <v>0</v>
      </c>
      <c r="K206">
        <f t="shared" si="25"/>
        <v>0</v>
      </c>
      <c r="L206" s="1213"/>
      <c r="N206" s="1214" t="str">
        <f t="shared" si="28"/>
        <v xml:space="preserve"> </v>
      </c>
      <c r="O206" s="1215" t="str">
        <f t="shared" si="29"/>
        <v xml:space="preserve"> </v>
      </c>
      <c r="Q206">
        <f t="shared" si="30"/>
        <v>0</v>
      </c>
      <c r="R206">
        <f t="shared" si="31"/>
        <v>0</v>
      </c>
    </row>
    <row r="207" spans="2:18" x14ac:dyDescent="0.2">
      <c r="B207" s="1209"/>
      <c r="C207" s="1210"/>
      <c r="D207" s="939"/>
      <c r="E207" s="1211" t="str">
        <f t="shared" si="26"/>
        <v xml:space="preserve"> </v>
      </c>
      <c r="G207" s="1212" t="str">
        <f t="shared" si="27"/>
        <v xml:space="preserve"> </v>
      </c>
      <c r="H207" s="1201"/>
      <c r="I207">
        <f t="shared" si="24"/>
        <v>0</v>
      </c>
      <c r="K207">
        <f t="shared" si="25"/>
        <v>0</v>
      </c>
      <c r="L207" s="1213"/>
      <c r="N207" s="1214" t="str">
        <f t="shared" si="28"/>
        <v xml:space="preserve"> </v>
      </c>
      <c r="O207" s="1215" t="str">
        <f t="shared" si="29"/>
        <v xml:space="preserve"> </v>
      </c>
      <c r="Q207">
        <f t="shared" si="30"/>
        <v>0</v>
      </c>
      <c r="R207">
        <f t="shared" si="31"/>
        <v>0</v>
      </c>
    </row>
    <row r="208" spans="2:18" x14ac:dyDescent="0.2">
      <c r="B208" s="1209"/>
      <c r="C208" s="1210"/>
      <c r="D208" s="939"/>
      <c r="E208" s="1211" t="str">
        <f t="shared" si="26"/>
        <v xml:space="preserve"> </v>
      </c>
      <c r="G208" s="1212" t="str">
        <f t="shared" si="27"/>
        <v xml:space="preserve"> </v>
      </c>
      <c r="H208" s="1201"/>
      <c r="I208">
        <f t="shared" si="24"/>
        <v>0</v>
      </c>
      <c r="K208">
        <f t="shared" si="25"/>
        <v>0</v>
      </c>
      <c r="L208" s="1213"/>
      <c r="N208" s="1214" t="str">
        <f t="shared" si="28"/>
        <v xml:space="preserve"> </v>
      </c>
      <c r="O208" s="1215" t="str">
        <f t="shared" si="29"/>
        <v xml:space="preserve"> </v>
      </c>
      <c r="Q208">
        <f t="shared" si="30"/>
        <v>0</v>
      </c>
      <c r="R208">
        <f t="shared" si="31"/>
        <v>0</v>
      </c>
    </row>
    <row r="209" spans="2:18" x14ac:dyDescent="0.2">
      <c r="B209" s="1209"/>
      <c r="C209" s="1210"/>
      <c r="D209" s="939"/>
      <c r="E209" s="1211" t="str">
        <f t="shared" si="26"/>
        <v xml:space="preserve"> </v>
      </c>
      <c r="G209" s="1212" t="str">
        <f t="shared" si="27"/>
        <v xml:space="preserve"> </v>
      </c>
      <c r="H209" s="1201"/>
      <c r="I209">
        <f t="shared" si="24"/>
        <v>0</v>
      </c>
      <c r="K209">
        <f t="shared" si="25"/>
        <v>0</v>
      </c>
      <c r="L209" s="1213"/>
      <c r="N209" s="1214" t="str">
        <f t="shared" si="28"/>
        <v xml:space="preserve"> </v>
      </c>
      <c r="O209" s="1215" t="str">
        <f t="shared" si="29"/>
        <v xml:space="preserve"> </v>
      </c>
      <c r="Q209">
        <f t="shared" si="30"/>
        <v>0</v>
      </c>
      <c r="R209">
        <f t="shared" si="31"/>
        <v>0</v>
      </c>
    </row>
    <row r="210" spans="2:18" x14ac:dyDescent="0.2">
      <c r="B210" s="1209"/>
      <c r="C210" s="1210"/>
      <c r="D210" s="939"/>
      <c r="E210" s="1211" t="str">
        <f t="shared" si="26"/>
        <v xml:space="preserve"> </v>
      </c>
      <c r="G210" s="1212" t="str">
        <f t="shared" si="27"/>
        <v xml:space="preserve"> </v>
      </c>
      <c r="H210" s="1201"/>
      <c r="I210">
        <f t="shared" si="24"/>
        <v>0</v>
      </c>
      <c r="K210">
        <f t="shared" si="25"/>
        <v>0</v>
      </c>
      <c r="L210" s="1213"/>
      <c r="N210" s="1214" t="str">
        <f t="shared" si="28"/>
        <v xml:space="preserve"> </v>
      </c>
      <c r="O210" s="1215" t="str">
        <f t="shared" si="29"/>
        <v xml:space="preserve"> </v>
      </c>
      <c r="Q210">
        <f t="shared" si="30"/>
        <v>0</v>
      </c>
      <c r="R210">
        <f t="shared" si="31"/>
        <v>0</v>
      </c>
    </row>
    <row r="211" spans="2:18" x14ac:dyDescent="0.2">
      <c r="B211" s="1209"/>
      <c r="C211" s="1210"/>
      <c r="D211" s="939"/>
      <c r="E211" s="1211" t="str">
        <f t="shared" si="26"/>
        <v xml:space="preserve"> </v>
      </c>
      <c r="G211" s="1212" t="str">
        <f t="shared" si="27"/>
        <v xml:space="preserve"> </v>
      </c>
      <c r="H211" s="1201"/>
      <c r="I211">
        <f t="shared" si="24"/>
        <v>0</v>
      </c>
      <c r="K211">
        <f t="shared" si="25"/>
        <v>0</v>
      </c>
      <c r="L211" s="1213"/>
      <c r="N211" s="1214" t="str">
        <f t="shared" si="28"/>
        <v xml:space="preserve"> </v>
      </c>
      <c r="O211" s="1215" t="str">
        <f t="shared" si="29"/>
        <v xml:space="preserve"> </v>
      </c>
      <c r="Q211">
        <f t="shared" si="30"/>
        <v>0</v>
      </c>
      <c r="R211">
        <f t="shared" si="31"/>
        <v>0</v>
      </c>
    </row>
    <row r="212" spans="2:18" x14ac:dyDescent="0.2">
      <c r="B212" s="1209"/>
      <c r="C212" s="1210"/>
      <c r="D212" s="939"/>
      <c r="E212" s="1211" t="str">
        <f t="shared" si="26"/>
        <v xml:space="preserve"> </v>
      </c>
      <c r="G212" s="1212" t="str">
        <f t="shared" si="27"/>
        <v xml:space="preserve"> </v>
      </c>
      <c r="H212" s="1201"/>
      <c r="I212">
        <f t="shared" si="24"/>
        <v>0</v>
      </c>
      <c r="K212">
        <f t="shared" si="25"/>
        <v>0</v>
      </c>
      <c r="L212" s="1213"/>
      <c r="N212" s="1214" t="str">
        <f t="shared" si="28"/>
        <v xml:space="preserve"> </v>
      </c>
      <c r="O212" s="1215" t="str">
        <f t="shared" si="29"/>
        <v xml:space="preserve"> </v>
      </c>
      <c r="Q212">
        <f t="shared" si="30"/>
        <v>0</v>
      </c>
      <c r="R212">
        <f t="shared" si="31"/>
        <v>0</v>
      </c>
    </row>
    <row r="213" spans="2:18" x14ac:dyDescent="0.2">
      <c r="B213" s="1209"/>
      <c r="C213" s="1210"/>
      <c r="D213" s="939"/>
      <c r="E213" s="1211" t="str">
        <f t="shared" si="26"/>
        <v xml:space="preserve"> </v>
      </c>
      <c r="G213" s="1212" t="str">
        <f t="shared" si="27"/>
        <v xml:space="preserve"> </v>
      </c>
      <c r="H213" s="1201"/>
      <c r="I213">
        <f t="shared" si="24"/>
        <v>0</v>
      </c>
      <c r="K213">
        <f t="shared" si="25"/>
        <v>0</v>
      </c>
      <c r="L213" s="1213"/>
      <c r="N213" s="1214" t="str">
        <f t="shared" si="28"/>
        <v xml:space="preserve"> </v>
      </c>
      <c r="O213" s="1215" t="str">
        <f t="shared" si="29"/>
        <v xml:space="preserve"> </v>
      </c>
      <c r="Q213">
        <f t="shared" si="30"/>
        <v>0</v>
      </c>
      <c r="R213">
        <f t="shared" si="31"/>
        <v>0</v>
      </c>
    </row>
    <row r="214" spans="2:18" x14ac:dyDescent="0.2">
      <c r="B214" s="1209"/>
      <c r="C214" s="1210"/>
      <c r="D214" s="939"/>
      <c r="E214" s="1211" t="str">
        <f t="shared" si="26"/>
        <v xml:space="preserve"> </v>
      </c>
      <c r="G214" s="1212" t="str">
        <f t="shared" si="27"/>
        <v xml:space="preserve"> </v>
      </c>
      <c r="H214" s="1201"/>
      <c r="I214">
        <f t="shared" si="24"/>
        <v>0</v>
      </c>
      <c r="K214">
        <f t="shared" si="25"/>
        <v>0</v>
      </c>
      <c r="L214" s="1213"/>
      <c r="N214" s="1214" t="str">
        <f t="shared" si="28"/>
        <v xml:space="preserve"> </v>
      </c>
      <c r="O214" s="1215" t="str">
        <f t="shared" si="29"/>
        <v xml:space="preserve"> </v>
      </c>
      <c r="Q214">
        <f t="shared" si="30"/>
        <v>0</v>
      </c>
      <c r="R214">
        <f t="shared" si="31"/>
        <v>0</v>
      </c>
    </row>
    <row r="215" spans="2:18" x14ac:dyDescent="0.2">
      <c r="B215" s="1209"/>
      <c r="C215" s="1210"/>
      <c r="D215" s="939"/>
      <c r="E215" s="1211" t="str">
        <f t="shared" si="26"/>
        <v xml:space="preserve"> </v>
      </c>
      <c r="G215" s="1212" t="str">
        <f t="shared" si="27"/>
        <v xml:space="preserve"> </v>
      </c>
      <c r="H215" s="1201"/>
      <c r="I215">
        <f t="shared" si="24"/>
        <v>0</v>
      </c>
      <c r="K215">
        <f t="shared" si="25"/>
        <v>0</v>
      </c>
      <c r="L215" s="1213"/>
      <c r="N215" s="1214" t="str">
        <f t="shared" si="28"/>
        <v xml:space="preserve"> </v>
      </c>
      <c r="O215" s="1215" t="str">
        <f t="shared" si="29"/>
        <v xml:space="preserve"> </v>
      </c>
      <c r="Q215">
        <f t="shared" si="30"/>
        <v>0</v>
      </c>
      <c r="R215">
        <f t="shared" si="31"/>
        <v>0</v>
      </c>
    </row>
    <row r="216" spans="2:18" x14ac:dyDescent="0.2">
      <c r="B216" s="1209"/>
      <c r="C216" s="1210"/>
      <c r="D216" s="939"/>
      <c r="E216" s="1211" t="str">
        <f t="shared" si="26"/>
        <v xml:space="preserve"> </v>
      </c>
      <c r="G216" s="1212" t="str">
        <f t="shared" si="27"/>
        <v xml:space="preserve"> </v>
      </c>
      <c r="H216" s="1201"/>
      <c r="I216">
        <f t="shared" si="24"/>
        <v>0</v>
      </c>
      <c r="K216">
        <f t="shared" si="25"/>
        <v>0</v>
      </c>
      <c r="L216" s="1213"/>
      <c r="N216" s="1214" t="str">
        <f t="shared" si="28"/>
        <v xml:space="preserve"> </v>
      </c>
      <c r="O216" s="1215" t="str">
        <f t="shared" si="29"/>
        <v xml:space="preserve"> </v>
      </c>
      <c r="Q216">
        <f t="shared" si="30"/>
        <v>0</v>
      </c>
      <c r="R216">
        <f t="shared" si="31"/>
        <v>0</v>
      </c>
    </row>
    <row r="217" spans="2:18" x14ac:dyDescent="0.2">
      <c r="B217" s="1209"/>
      <c r="C217" s="1210"/>
      <c r="D217" s="939"/>
      <c r="E217" s="1211" t="str">
        <f t="shared" si="26"/>
        <v xml:space="preserve"> </v>
      </c>
      <c r="G217" s="1212" t="str">
        <f t="shared" si="27"/>
        <v xml:space="preserve"> </v>
      </c>
      <c r="H217" s="1201"/>
      <c r="I217">
        <f t="shared" si="24"/>
        <v>0</v>
      </c>
      <c r="K217">
        <f t="shared" si="25"/>
        <v>0</v>
      </c>
      <c r="L217" s="1213"/>
      <c r="N217" s="1214" t="str">
        <f t="shared" si="28"/>
        <v xml:space="preserve"> </v>
      </c>
      <c r="O217" s="1215" t="str">
        <f t="shared" si="29"/>
        <v xml:space="preserve"> </v>
      </c>
      <c r="Q217">
        <f t="shared" si="30"/>
        <v>0</v>
      </c>
      <c r="R217">
        <f t="shared" si="31"/>
        <v>0</v>
      </c>
    </row>
    <row r="218" spans="2:18" x14ac:dyDescent="0.2">
      <c r="B218" s="1209"/>
      <c r="C218" s="1210"/>
      <c r="D218" s="939"/>
      <c r="E218" s="1211" t="str">
        <f t="shared" si="26"/>
        <v xml:space="preserve"> </v>
      </c>
      <c r="G218" s="1212" t="str">
        <f t="shared" si="27"/>
        <v xml:space="preserve"> </v>
      </c>
      <c r="H218" s="1201"/>
      <c r="I218">
        <f t="shared" si="24"/>
        <v>0</v>
      </c>
      <c r="K218">
        <f t="shared" si="25"/>
        <v>0</v>
      </c>
      <c r="L218" s="1213"/>
      <c r="N218" s="1214" t="str">
        <f t="shared" si="28"/>
        <v xml:space="preserve"> </v>
      </c>
      <c r="O218" s="1215" t="str">
        <f t="shared" si="29"/>
        <v xml:space="preserve"> </v>
      </c>
      <c r="Q218">
        <f t="shared" si="30"/>
        <v>0</v>
      </c>
      <c r="R218">
        <f t="shared" si="31"/>
        <v>0</v>
      </c>
    </row>
    <row r="219" spans="2:18" x14ac:dyDescent="0.2">
      <c r="B219" s="1209"/>
      <c r="C219" s="1210"/>
      <c r="D219" s="939"/>
      <c r="E219" s="1211" t="str">
        <f t="shared" si="26"/>
        <v xml:space="preserve"> </v>
      </c>
      <c r="G219" s="1212" t="str">
        <f t="shared" si="27"/>
        <v xml:space="preserve"> </v>
      </c>
      <c r="H219" s="1201"/>
      <c r="I219">
        <f t="shared" si="24"/>
        <v>0</v>
      </c>
      <c r="K219">
        <f t="shared" si="25"/>
        <v>0</v>
      </c>
      <c r="L219" s="1213"/>
      <c r="N219" s="1214" t="str">
        <f t="shared" si="28"/>
        <v xml:space="preserve"> </v>
      </c>
      <c r="O219" s="1215" t="str">
        <f t="shared" si="29"/>
        <v xml:space="preserve"> </v>
      </c>
      <c r="Q219">
        <f t="shared" si="30"/>
        <v>0</v>
      </c>
      <c r="R219">
        <f t="shared" si="31"/>
        <v>0</v>
      </c>
    </row>
    <row r="220" spans="2:18" x14ac:dyDescent="0.2">
      <c r="B220" s="1209"/>
      <c r="C220" s="1210"/>
      <c r="D220" s="939"/>
      <c r="E220" s="1211" t="str">
        <f t="shared" si="26"/>
        <v xml:space="preserve"> </v>
      </c>
      <c r="G220" s="1212" t="str">
        <f t="shared" si="27"/>
        <v xml:space="preserve"> </v>
      </c>
      <c r="H220" s="1201"/>
      <c r="I220">
        <f t="shared" si="24"/>
        <v>0</v>
      </c>
      <c r="K220">
        <f t="shared" si="25"/>
        <v>0</v>
      </c>
      <c r="L220" s="1213"/>
      <c r="N220" s="1214" t="str">
        <f t="shared" si="28"/>
        <v xml:space="preserve"> </v>
      </c>
      <c r="O220" s="1215" t="str">
        <f t="shared" si="29"/>
        <v xml:space="preserve"> </v>
      </c>
      <c r="Q220">
        <f t="shared" si="30"/>
        <v>0</v>
      </c>
      <c r="R220">
        <f t="shared" si="31"/>
        <v>0</v>
      </c>
    </row>
    <row r="221" spans="2:18" x14ac:dyDescent="0.2">
      <c r="B221" s="1209"/>
      <c r="C221" s="1210"/>
      <c r="D221" s="939"/>
      <c r="E221" s="1211" t="str">
        <f t="shared" si="26"/>
        <v xml:space="preserve"> </v>
      </c>
      <c r="G221" s="1212" t="str">
        <f t="shared" si="27"/>
        <v xml:space="preserve"> </v>
      </c>
      <c r="H221" s="1201"/>
      <c r="I221">
        <f t="shared" si="24"/>
        <v>0</v>
      </c>
      <c r="K221">
        <f t="shared" si="25"/>
        <v>0</v>
      </c>
      <c r="L221" s="1213"/>
      <c r="N221" s="1214" t="str">
        <f t="shared" si="28"/>
        <v xml:space="preserve"> </v>
      </c>
      <c r="O221" s="1215" t="str">
        <f t="shared" si="29"/>
        <v xml:space="preserve"> </v>
      </c>
      <c r="Q221">
        <f t="shared" si="30"/>
        <v>0</v>
      </c>
      <c r="R221">
        <f t="shared" si="31"/>
        <v>0</v>
      </c>
    </row>
    <row r="222" spans="2:18" x14ac:dyDescent="0.2">
      <c r="B222" s="1209"/>
      <c r="C222" s="1210"/>
      <c r="D222" s="939"/>
      <c r="E222" s="1211" t="str">
        <f t="shared" si="26"/>
        <v xml:space="preserve"> </v>
      </c>
      <c r="G222" s="1212" t="str">
        <f t="shared" si="27"/>
        <v xml:space="preserve"> </v>
      </c>
      <c r="H222" s="1201"/>
      <c r="I222">
        <f t="shared" si="24"/>
        <v>0</v>
      </c>
      <c r="K222">
        <f t="shared" si="25"/>
        <v>0</v>
      </c>
      <c r="L222" s="1213"/>
      <c r="N222" s="1214" t="str">
        <f t="shared" si="28"/>
        <v xml:space="preserve"> </v>
      </c>
      <c r="O222" s="1215" t="str">
        <f t="shared" si="29"/>
        <v xml:space="preserve"> </v>
      </c>
      <c r="Q222">
        <f t="shared" si="30"/>
        <v>0</v>
      </c>
      <c r="R222">
        <f t="shared" si="31"/>
        <v>0</v>
      </c>
    </row>
    <row r="223" spans="2:18" x14ac:dyDescent="0.2">
      <c r="B223" s="1209"/>
      <c r="C223" s="1210"/>
      <c r="D223" s="939"/>
      <c r="E223" s="1211" t="str">
        <f t="shared" si="26"/>
        <v xml:space="preserve"> </v>
      </c>
      <c r="G223" s="1212" t="str">
        <f t="shared" si="27"/>
        <v xml:space="preserve"> </v>
      </c>
      <c r="H223" s="1201"/>
      <c r="I223">
        <f t="shared" si="24"/>
        <v>0</v>
      </c>
      <c r="K223">
        <f t="shared" si="25"/>
        <v>0</v>
      </c>
      <c r="L223" s="1213"/>
      <c r="N223" s="1214" t="str">
        <f t="shared" si="28"/>
        <v xml:space="preserve"> </v>
      </c>
      <c r="O223" s="1215" t="str">
        <f t="shared" si="29"/>
        <v xml:space="preserve"> </v>
      </c>
      <c r="Q223">
        <f t="shared" si="30"/>
        <v>0</v>
      </c>
      <c r="R223">
        <f t="shared" si="31"/>
        <v>0</v>
      </c>
    </row>
    <row r="224" spans="2:18" x14ac:dyDescent="0.2">
      <c r="B224" s="1209"/>
      <c r="C224" s="1210"/>
      <c r="D224" s="939"/>
      <c r="E224" s="1211" t="str">
        <f t="shared" si="26"/>
        <v xml:space="preserve"> </v>
      </c>
      <c r="G224" s="1212" t="str">
        <f t="shared" si="27"/>
        <v xml:space="preserve"> </v>
      </c>
      <c r="H224" s="1201"/>
      <c r="I224">
        <f t="shared" si="24"/>
        <v>0</v>
      </c>
      <c r="K224">
        <f t="shared" si="25"/>
        <v>0</v>
      </c>
      <c r="L224" s="1213"/>
      <c r="N224" s="1214" t="str">
        <f t="shared" si="28"/>
        <v xml:space="preserve"> </v>
      </c>
      <c r="O224" s="1215" t="str">
        <f t="shared" si="29"/>
        <v xml:space="preserve"> </v>
      </c>
      <c r="Q224">
        <f t="shared" si="30"/>
        <v>0</v>
      </c>
      <c r="R224">
        <f t="shared" si="31"/>
        <v>0</v>
      </c>
    </row>
    <row r="225" spans="2:18" x14ac:dyDescent="0.2">
      <c r="B225" s="1209"/>
      <c r="C225" s="1210"/>
      <c r="D225" s="939"/>
      <c r="E225" s="1211" t="str">
        <f t="shared" si="26"/>
        <v xml:space="preserve"> </v>
      </c>
      <c r="G225" s="1212" t="str">
        <f t="shared" si="27"/>
        <v xml:space="preserve"> </v>
      </c>
      <c r="H225" s="1201"/>
      <c r="I225">
        <f t="shared" si="24"/>
        <v>0</v>
      </c>
      <c r="K225">
        <f t="shared" si="25"/>
        <v>0</v>
      </c>
      <c r="L225" s="1213"/>
      <c r="N225" s="1214" t="str">
        <f t="shared" si="28"/>
        <v xml:space="preserve"> </v>
      </c>
      <c r="O225" s="1215" t="str">
        <f t="shared" si="29"/>
        <v xml:space="preserve"> </v>
      </c>
      <c r="Q225">
        <f t="shared" si="30"/>
        <v>0</v>
      </c>
      <c r="R225">
        <f t="shared" si="31"/>
        <v>0</v>
      </c>
    </row>
    <row r="226" spans="2:18" x14ac:dyDescent="0.2">
      <c r="B226" s="1209"/>
      <c r="C226" s="1210"/>
      <c r="D226" s="939"/>
      <c r="E226" s="1211" t="str">
        <f t="shared" si="26"/>
        <v xml:space="preserve"> </v>
      </c>
      <c r="G226" s="1212" t="str">
        <f t="shared" si="27"/>
        <v xml:space="preserve"> </v>
      </c>
      <c r="H226" s="1201"/>
      <c r="I226">
        <f t="shared" si="24"/>
        <v>0</v>
      </c>
      <c r="K226">
        <f t="shared" si="25"/>
        <v>0</v>
      </c>
      <c r="L226" s="1213"/>
      <c r="N226" s="1214" t="str">
        <f t="shared" si="28"/>
        <v xml:space="preserve"> </v>
      </c>
      <c r="O226" s="1215" t="str">
        <f t="shared" si="29"/>
        <v xml:space="preserve"> </v>
      </c>
      <c r="Q226">
        <f t="shared" si="30"/>
        <v>0</v>
      </c>
      <c r="R226">
        <f t="shared" si="31"/>
        <v>0</v>
      </c>
    </row>
    <row r="227" spans="2:18" x14ac:dyDescent="0.2">
      <c r="B227" s="1209"/>
      <c r="C227" s="1210"/>
      <c r="D227" s="939"/>
      <c r="E227" s="1211" t="str">
        <f t="shared" si="26"/>
        <v xml:space="preserve"> </v>
      </c>
      <c r="G227" s="1212" t="str">
        <f t="shared" si="27"/>
        <v xml:space="preserve"> </v>
      </c>
      <c r="H227" s="1201"/>
      <c r="I227">
        <f t="shared" si="24"/>
        <v>0</v>
      </c>
      <c r="K227">
        <f t="shared" si="25"/>
        <v>0</v>
      </c>
      <c r="L227" s="1213"/>
      <c r="N227" s="1214" t="str">
        <f t="shared" si="28"/>
        <v xml:space="preserve"> </v>
      </c>
      <c r="O227" s="1215" t="str">
        <f t="shared" si="29"/>
        <v xml:space="preserve"> </v>
      </c>
      <c r="Q227">
        <f t="shared" si="30"/>
        <v>0</v>
      </c>
      <c r="R227">
        <f t="shared" si="31"/>
        <v>0</v>
      </c>
    </row>
    <row r="228" spans="2:18" x14ac:dyDescent="0.2">
      <c r="B228" s="1209"/>
      <c r="C228" s="1210"/>
      <c r="D228" s="939"/>
      <c r="E228" s="1211" t="str">
        <f t="shared" si="26"/>
        <v xml:space="preserve"> </v>
      </c>
      <c r="G228" s="1212" t="str">
        <f t="shared" si="27"/>
        <v xml:space="preserve"> </v>
      </c>
      <c r="H228" s="1201"/>
      <c r="I228">
        <f t="shared" si="24"/>
        <v>0</v>
      </c>
      <c r="K228">
        <f t="shared" si="25"/>
        <v>0</v>
      </c>
      <c r="L228" s="1213"/>
      <c r="N228" s="1214" t="str">
        <f t="shared" si="28"/>
        <v xml:space="preserve"> </v>
      </c>
      <c r="O228" s="1215" t="str">
        <f t="shared" si="29"/>
        <v xml:space="preserve"> </v>
      </c>
      <c r="Q228">
        <f t="shared" si="30"/>
        <v>0</v>
      </c>
      <c r="R228">
        <f t="shared" si="31"/>
        <v>0</v>
      </c>
    </row>
    <row r="229" spans="2:18" x14ac:dyDescent="0.2">
      <c r="B229" s="1209"/>
      <c r="C229" s="1210"/>
      <c r="D229" s="939"/>
      <c r="E229" s="1211" t="str">
        <f t="shared" si="26"/>
        <v xml:space="preserve"> </v>
      </c>
      <c r="G229" s="1212" t="str">
        <f t="shared" si="27"/>
        <v xml:space="preserve"> </v>
      </c>
      <c r="H229" s="1201"/>
      <c r="I229">
        <f t="shared" si="24"/>
        <v>0</v>
      </c>
      <c r="K229">
        <f t="shared" si="25"/>
        <v>0</v>
      </c>
      <c r="L229" s="1213"/>
      <c r="N229" s="1214" t="str">
        <f t="shared" si="28"/>
        <v xml:space="preserve"> </v>
      </c>
      <c r="O229" s="1215" t="str">
        <f t="shared" si="29"/>
        <v xml:space="preserve"> </v>
      </c>
      <c r="Q229">
        <f t="shared" si="30"/>
        <v>0</v>
      </c>
      <c r="R229">
        <f t="shared" si="31"/>
        <v>0</v>
      </c>
    </row>
    <row r="230" spans="2:18" x14ac:dyDescent="0.2">
      <c r="B230" s="1209"/>
      <c r="C230" s="1210"/>
      <c r="D230" s="939"/>
      <c r="E230" s="1211" t="str">
        <f t="shared" si="26"/>
        <v xml:space="preserve"> </v>
      </c>
      <c r="G230" s="1212" t="str">
        <f t="shared" si="27"/>
        <v xml:space="preserve"> </v>
      </c>
      <c r="H230" s="1201"/>
      <c r="I230">
        <f t="shared" si="24"/>
        <v>0</v>
      </c>
      <c r="K230">
        <f t="shared" si="25"/>
        <v>0</v>
      </c>
      <c r="L230" s="1213"/>
      <c r="N230" s="1214" t="str">
        <f t="shared" si="28"/>
        <v xml:space="preserve"> </v>
      </c>
      <c r="O230" s="1215" t="str">
        <f t="shared" si="29"/>
        <v xml:space="preserve"> </v>
      </c>
      <c r="Q230">
        <f t="shared" si="30"/>
        <v>0</v>
      </c>
      <c r="R230">
        <f t="shared" si="31"/>
        <v>0</v>
      </c>
    </row>
    <row r="231" spans="2:18" x14ac:dyDescent="0.2">
      <c r="B231" s="1209"/>
      <c r="C231" s="1210"/>
      <c r="D231" s="939"/>
      <c r="E231" s="1211" t="str">
        <f t="shared" si="26"/>
        <v xml:space="preserve"> </v>
      </c>
      <c r="G231" s="1212" t="str">
        <f t="shared" si="27"/>
        <v xml:space="preserve"> </v>
      </c>
      <c r="H231" s="1201"/>
      <c r="I231">
        <f t="shared" si="24"/>
        <v>0</v>
      </c>
      <c r="K231">
        <f t="shared" si="25"/>
        <v>0</v>
      </c>
      <c r="L231" s="1213"/>
      <c r="N231" s="1214" t="str">
        <f t="shared" si="28"/>
        <v xml:space="preserve"> </v>
      </c>
      <c r="O231" s="1215" t="str">
        <f t="shared" si="29"/>
        <v xml:space="preserve"> </v>
      </c>
      <c r="Q231">
        <f t="shared" si="30"/>
        <v>0</v>
      </c>
      <c r="R231">
        <f t="shared" si="31"/>
        <v>0</v>
      </c>
    </row>
    <row r="232" spans="2:18" x14ac:dyDescent="0.2">
      <c r="B232" s="1209"/>
      <c r="C232" s="1210"/>
      <c r="D232" s="939"/>
      <c r="E232" s="1211" t="str">
        <f t="shared" si="26"/>
        <v xml:space="preserve"> </v>
      </c>
      <c r="G232" s="1212" t="str">
        <f t="shared" si="27"/>
        <v xml:space="preserve"> </v>
      </c>
      <c r="H232" s="1201"/>
      <c r="I232">
        <f t="shared" si="24"/>
        <v>0</v>
      </c>
      <c r="K232">
        <f t="shared" si="25"/>
        <v>0</v>
      </c>
      <c r="L232" s="1213"/>
      <c r="N232" s="1214" t="str">
        <f t="shared" si="28"/>
        <v xml:space="preserve"> </v>
      </c>
      <c r="O232" s="1215" t="str">
        <f t="shared" si="29"/>
        <v xml:space="preserve"> </v>
      </c>
      <c r="Q232">
        <f t="shared" si="30"/>
        <v>0</v>
      </c>
      <c r="R232">
        <f t="shared" si="31"/>
        <v>0</v>
      </c>
    </row>
    <row r="233" spans="2:18" x14ac:dyDescent="0.2">
      <c r="B233" s="1209"/>
      <c r="C233" s="1210"/>
      <c r="D233" s="939"/>
      <c r="E233" s="1211" t="str">
        <f t="shared" si="26"/>
        <v xml:space="preserve"> </v>
      </c>
      <c r="G233" s="1212" t="str">
        <f t="shared" si="27"/>
        <v xml:space="preserve"> </v>
      </c>
      <c r="H233" s="1201"/>
      <c r="I233">
        <f t="shared" si="24"/>
        <v>0</v>
      </c>
      <c r="K233">
        <f t="shared" si="25"/>
        <v>0</v>
      </c>
      <c r="L233" s="1213"/>
      <c r="N233" s="1214" t="str">
        <f t="shared" si="28"/>
        <v xml:space="preserve"> </v>
      </c>
      <c r="O233" s="1215" t="str">
        <f t="shared" si="29"/>
        <v xml:space="preserve"> </v>
      </c>
      <c r="Q233">
        <f t="shared" si="30"/>
        <v>0</v>
      </c>
      <c r="R233">
        <f t="shared" si="31"/>
        <v>0</v>
      </c>
    </row>
    <row r="234" spans="2:18" x14ac:dyDescent="0.2">
      <c r="B234" s="1209"/>
      <c r="C234" s="1210"/>
      <c r="D234" s="939"/>
      <c r="E234" s="1211" t="str">
        <f t="shared" si="26"/>
        <v xml:space="preserve"> </v>
      </c>
      <c r="G234" s="1212" t="str">
        <f t="shared" si="27"/>
        <v xml:space="preserve"> </v>
      </c>
      <c r="H234" s="1201"/>
      <c r="I234">
        <f t="shared" si="24"/>
        <v>0</v>
      </c>
      <c r="K234">
        <f t="shared" si="25"/>
        <v>0</v>
      </c>
      <c r="L234" s="1213"/>
      <c r="N234" s="1214" t="str">
        <f t="shared" si="28"/>
        <v xml:space="preserve"> </v>
      </c>
      <c r="O234" s="1215" t="str">
        <f t="shared" si="29"/>
        <v xml:space="preserve"> </v>
      </c>
      <c r="Q234">
        <f t="shared" si="30"/>
        <v>0</v>
      </c>
      <c r="R234">
        <f t="shared" si="31"/>
        <v>0</v>
      </c>
    </row>
    <row r="235" spans="2:18" x14ac:dyDescent="0.2">
      <c r="B235" s="1209"/>
      <c r="C235" s="1210"/>
      <c r="D235" s="939"/>
      <c r="E235" s="1211" t="str">
        <f t="shared" si="26"/>
        <v xml:space="preserve"> </v>
      </c>
      <c r="G235" s="1212" t="str">
        <f t="shared" si="27"/>
        <v xml:space="preserve"> </v>
      </c>
      <c r="H235" s="1201"/>
      <c r="I235">
        <f t="shared" si="24"/>
        <v>0</v>
      </c>
      <c r="K235">
        <f t="shared" si="25"/>
        <v>0</v>
      </c>
      <c r="L235" s="1213"/>
      <c r="N235" s="1214" t="str">
        <f t="shared" si="28"/>
        <v xml:space="preserve"> </v>
      </c>
      <c r="O235" s="1215" t="str">
        <f t="shared" si="29"/>
        <v xml:space="preserve"> </v>
      </c>
      <c r="Q235">
        <f t="shared" si="30"/>
        <v>0</v>
      </c>
      <c r="R235">
        <f t="shared" si="31"/>
        <v>0</v>
      </c>
    </row>
    <row r="236" spans="2:18" x14ac:dyDescent="0.2">
      <c r="B236" s="1209"/>
      <c r="C236" s="1210"/>
      <c r="D236" s="939"/>
      <c r="E236" s="1211" t="str">
        <f t="shared" si="26"/>
        <v xml:space="preserve"> </v>
      </c>
      <c r="G236" s="1212" t="str">
        <f t="shared" si="27"/>
        <v xml:space="preserve"> </v>
      </c>
      <c r="H236" s="1201"/>
      <c r="I236">
        <f t="shared" si="24"/>
        <v>0</v>
      </c>
      <c r="K236">
        <f t="shared" si="25"/>
        <v>0</v>
      </c>
      <c r="L236" s="1213"/>
      <c r="N236" s="1214" t="str">
        <f t="shared" si="28"/>
        <v xml:space="preserve"> </v>
      </c>
      <c r="O236" s="1215" t="str">
        <f t="shared" si="29"/>
        <v xml:space="preserve"> </v>
      </c>
      <c r="Q236">
        <f t="shared" si="30"/>
        <v>0</v>
      </c>
      <c r="R236">
        <f t="shared" si="31"/>
        <v>0</v>
      </c>
    </row>
    <row r="237" spans="2:18" x14ac:dyDescent="0.2">
      <c r="B237" s="1209"/>
      <c r="C237" s="1210"/>
      <c r="D237" s="939"/>
      <c r="E237" s="1211" t="str">
        <f t="shared" si="26"/>
        <v xml:space="preserve"> </v>
      </c>
      <c r="G237" s="1212" t="str">
        <f t="shared" si="27"/>
        <v xml:space="preserve"> </v>
      </c>
      <c r="H237" s="1201"/>
      <c r="I237">
        <f t="shared" si="24"/>
        <v>0</v>
      </c>
      <c r="K237">
        <f t="shared" si="25"/>
        <v>0</v>
      </c>
      <c r="L237" s="1213"/>
      <c r="N237" s="1214" t="str">
        <f t="shared" si="28"/>
        <v xml:space="preserve"> </v>
      </c>
      <c r="O237" s="1215" t="str">
        <f t="shared" si="29"/>
        <v xml:space="preserve"> </v>
      </c>
      <c r="Q237">
        <f t="shared" si="30"/>
        <v>0</v>
      </c>
      <c r="R237">
        <f t="shared" si="31"/>
        <v>0</v>
      </c>
    </row>
    <row r="238" spans="2:18" x14ac:dyDescent="0.2">
      <c r="B238" s="1209"/>
      <c r="C238" s="1210"/>
      <c r="D238" s="939"/>
      <c r="E238" s="1211" t="str">
        <f t="shared" si="26"/>
        <v xml:space="preserve"> </v>
      </c>
      <c r="G238" s="1212" t="str">
        <f t="shared" si="27"/>
        <v xml:space="preserve"> </v>
      </c>
      <c r="H238" s="1201"/>
      <c r="I238">
        <f t="shared" si="24"/>
        <v>0</v>
      </c>
      <c r="K238">
        <f t="shared" si="25"/>
        <v>0</v>
      </c>
      <c r="L238" s="1213"/>
      <c r="N238" s="1214" t="str">
        <f t="shared" si="28"/>
        <v xml:space="preserve"> </v>
      </c>
      <c r="O238" s="1215" t="str">
        <f t="shared" si="29"/>
        <v xml:space="preserve"> </v>
      </c>
      <c r="Q238">
        <f t="shared" si="30"/>
        <v>0</v>
      </c>
      <c r="R238">
        <f t="shared" si="31"/>
        <v>0</v>
      </c>
    </row>
    <row r="239" spans="2:18" x14ac:dyDescent="0.2">
      <c r="B239" s="1209"/>
      <c r="C239" s="1210"/>
      <c r="D239" s="939"/>
      <c r="E239" s="1211" t="str">
        <f t="shared" si="26"/>
        <v xml:space="preserve"> </v>
      </c>
      <c r="G239" s="1212" t="str">
        <f t="shared" si="27"/>
        <v xml:space="preserve"> </v>
      </c>
      <c r="H239" s="1201"/>
      <c r="I239">
        <f t="shared" si="24"/>
        <v>0</v>
      </c>
      <c r="K239">
        <f t="shared" si="25"/>
        <v>0</v>
      </c>
      <c r="L239" s="1213"/>
      <c r="N239" s="1214" t="str">
        <f t="shared" si="28"/>
        <v xml:space="preserve"> </v>
      </c>
      <c r="O239" s="1215" t="str">
        <f t="shared" si="29"/>
        <v xml:space="preserve"> </v>
      </c>
      <c r="Q239">
        <f t="shared" si="30"/>
        <v>0</v>
      </c>
      <c r="R239">
        <f t="shared" si="31"/>
        <v>0</v>
      </c>
    </row>
    <row r="240" spans="2:18" x14ac:dyDescent="0.2">
      <c r="B240" s="1209"/>
      <c r="C240" s="1210"/>
      <c r="D240" s="939"/>
      <c r="E240" s="1211" t="str">
        <f t="shared" si="26"/>
        <v xml:space="preserve"> </v>
      </c>
      <c r="G240" s="1212" t="str">
        <f t="shared" si="27"/>
        <v xml:space="preserve"> </v>
      </c>
      <c r="H240" s="1201"/>
      <c r="I240">
        <f t="shared" si="24"/>
        <v>0</v>
      </c>
      <c r="K240">
        <f t="shared" si="25"/>
        <v>0</v>
      </c>
      <c r="L240" s="1213"/>
      <c r="N240" s="1214" t="str">
        <f t="shared" si="28"/>
        <v xml:space="preserve"> </v>
      </c>
      <c r="O240" s="1215" t="str">
        <f t="shared" si="29"/>
        <v xml:space="preserve"> </v>
      </c>
      <c r="Q240">
        <f t="shared" si="30"/>
        <v>0</v>
      </c>
      <c r="R240">
        <f t="shared" si="31"/>
        <v>0</v>
      </c>
    </row>
    <row r="241" spans="2:18" x14ac:dyDescent="0.2">
      <c r="B241" s="1209"/>
      <c r="C241" s="1210"/>
      <c r="D241" s="939"/>
      <c r="E241" s="1211" t="str">
        <f t="shared" si="26"/>
        <v xml:space="preserve"> </v>
      </c>
      <c r="G241" s="1212" t="str">
        <f t="shared" si="27"/>
        <v xml:space="preserve"> </v>
      </c>
      <c r="H241" s="1201"/>
      <c r="I241">
        <f t="shared" si="24"/>
        <v>0</v>
      </c>
      <c r="K241">
        <f t="shared" si="25"/>
        <v>0</v>
      </c>
      <c r="L241" s="1213"/>
      <c r="N241" s="1214" t="str">
        <f t="shared" si="28"/>
        <v xml:space="preserve"> </v>
      </c>
      <c r="O241" s="1215" t="str">
        <f t="shared" si="29"/>
        <v xml:space="preserve"> </v>
      </c>
      <c r="Q241">
        <f t="shared" si="30"/>
        <v>0</v>
      </c>
      <c r="R241">
        <f t="shared" si="31"/>
        <v>0</v>
      </c>
    </row>
    <row r="242" spans="2:18" x14ac:dyDescent="0.2">
      <c r="B242" s="1209"/>
      <c r="C242" s="1210"/>
      <c r="D242" s="939"/>
      <c r="E242" s="1211" t="str">
        <f t="shared" si="26"/>
        <v xml:space="preserve"> </v>
      </c>
      <c r="G242" s="1212" t="str">
        <f t="shared" si="27"/>
        <v xml:space="preserve"> </v>
      </c>
      <c r="H242" s="1201"/>
      <c r="I242">
        <f t="shared" si="24"/>
        <v>0</v>
      </c>
      <c r="K242">
        <f t="shared" si="25"/>
        <v>0</v>
      </c>
      <c r="L242" s="1213"/>
      <c r="N242" s="1214" t="str">
        <f t="shared" si="28"/>
        <v xml:space="preserve"> </v>
      </c>
      <c r="O242" s="1215" t="str">
        <f t="shared" si="29"/>
        <v xml:space="preserve"> </v>
      </c>
      <c r="Q242">
        <f t="shared" si="30"/>
        <v>0</v>
      </c>
      <c r="R242">
        <f t="shared" si="31"/>
        <v>0</v>
      </c>
    </row>
    <row r="243" spans="2:18" x14ac:dyDescent="0.2">
      <c r="B243" s="1209"/>
      <c r="C243" s="1210"/>
      <c r="D243" s="939"/>
      <c r="E243" s="1211" t="str">
        <f t="shared" si="26"/>
        <v xml:space="preserve"> </v>
      </c>
      <c r="G243" s="1212" t="str">
        <f t="shared" si="27"/>
        <v xml:space="preserve"> </v>
      </c>
      <c r="H243" s="1201"/>
      <c r="I243">
        <f t="shared" si="24"/>
        <v>0</v>
      </c>
      <c r="K243">
        <f t="shared" si="25"/>
        <v>0</v>
      </c>
      <c r="L243" s="1213"/>
      <c r="N243" s="1214" t="str">
        <f t="shared" si="28"/>
        <v xml:space="preserve"> </v>
      </c>
      <c r="O243" s="1215" t="str">
        <f t="shared" si="29"/>
        <v xml:space="preserve"> </v>
      </c>
      <c r="Q243">
        <f t="shared" si="30"/>
        <v>0</v>
      </c>
      <c r="R243">
        <f t="shared" si="31"/>
        <v>0</v>
      </c>
    </row>
    <row r="244" spans="2:18" x14ac:dyDescent="0.2">
      <c r="B244" s="1209"/>
      <c r="C244" s="1210"/>
      <c r="D244" s="939"/>
      <c r="E244" s="1211" t="str">
        <f t="shared" si="26"/>
        <v xml:space="preserve"> </v>
      </c>
      <c r="G244" s="1212" t="str">
        <f t="shared" si="27"/>
        <v xml:space="preserve"> </v>
      </c>
      <c r="H244" s="1201"/>
      <c r="I244">
        <f t="shared" si="24"/>
        <v>0</v>
      </c>
      <c r="K244">
        <f t="shared" si="25"/>
        <v>0</v>
      </c>
      <c r="L244" s="1213"/>
      <c r="N244" s="1214" t="str">
        <f t="shared" si="28"/>
        <v xml:space="preserve"> </v>
      </c>
      <c r="O244" s="1215" t="str">
        <f t="shared" si="29"/>
        <v xml:space="preserve"> </v>
      </c>
      <c r="Q244">
        <f t="shared" si="30"/>
        <v>0</v>
      </c>
      <c r="R244">
        <f t="shared" si="31"/>
        <v>0</v>
      </c>
    </row>
    <row r="245" spans="2:18" x14ac:dyDescent="0.2">
      <c r="B245" s="1209"/>
      <c r="C245" s="1210"/>
      <c r="D245" s="939"/>
      <c r="E245" s="1211" t="str">
        <f t="shared" si="26"/>
        <v xml:space="preserve"> </v>
      </c>
      <c r="G245" s="1212" t="str">
        <f t="shared" si="27"/>
        <v xml:space="preserve"> </v>
      </c>
      <c r="H245" s="1201"/>
      <c r="I245">
        <f t="shared" si="24"/>
        <v>0</v>
      </c>
      <c r="K245">
        <f t="shared" si="25"/>
        <v>0</v>
      </c>
      <c r="L245" s="1213"/>
      <c r="N245" s="1214" t="str">
        <f t="shared" si="28"/>
        <v xml:space="preserve"> </v>
      </c>
      <c r="O245" s="1215" t="str">
        <f t="shared" si="29"/>
        <v xml:space="preserve"> </v>
      </c>
      <c r="Q245">
        <f t="shared" si="30"/>
        <v>0</v>
      </c>
      <c r="R245">
        <f t="shared" si="31"/>
        <v>0</v>
      </c>
    </row>
    <row r="246" spans="2:18" x14ac:dyDescent="0.2">
      <c r="B246" s="1209"/>
      <c r="C246" s="1210"/>
      <c r="D246" s="939"/>
      <c r="E246" s="1211" t="str">
        <f t="shared" si="26"/>
        <v xml:space="preserve"> </v>
      </c>
      <c r="G246" s="1212" t="str">
        <f t="shared" si="27"/>
        <v xml:space="preserve"> </v>
      </c>
      <c r="H246" s="1201"/>
      <c r="I246">
        <f t="shared" si="24"/>
        <v>0</v>
      </c>
      <c r="K246">
        <f t="shared" si="25"/>
        <v>0</v>
      </c>
      <c r="L246" s="1213"/>
      <c r="N246" s="1214" t="str">
        <f t="shared" si="28"/>
        <v xml:space="preserve"> </v>
      </c>
      <c r="O246" s="1215" t="str">
        <f t="shared" si="29"/>
        <v xml:space="preserve"> </v>
      </c>
      <c r="Q246">
        <f t="shared" si="30"/>
        <v>0</v>
      </c>
      <c r="R246">
        <f t="shared" si="31"/>
        <v>0</v>
      </c>
    </row>
    <row r="247" spans="2:18" x14ac:dyDescent="0.2">
      <c r="B247" s="1209"/>
      <c r="C247" s="1210"/>
      <c r="D247" s="939"/>
      <c r="E247" s="1211" t="str">
        <f t="shared" si="26"/>
        <v xml:space="preserve"> </v>
      </c>
      <c r="G247" s="1212" t="str">
        <f t="shared" si="27"/>
        <v xml:space="preserve"> </v>
      </c>
      <c r="H247" s="1201"/>
      <c r="I247">
        <f t="shared" si="24"/>
        <v>0</v>
      </c>
      <c r="K247">
        <f t="shared" si="25"/>
        <v>0</v>
      </c>
      <c r="L247" s="1213"/>
      <c r="N247" s="1214" t="str">
        <f t="shared" si="28"/>
        <v xml:space="preserve"> </v>
      </c>
      <c r="O247" s="1215" t="str">
        <f t="shared" si="29"/>
        <v xml:space="preserve"> </v>
      </c>
      <c r="Q247">
        <f t="shared" si="30"/>
        <v>0</v>
      </c>
      <c r="R247">
        <f t="shared" si="31"/>
        <v>0</v>
      </c>
    </row>
    <row r="248" spans="2:18" x14ac:dyDescent="0.2">
      <c r="B248" s="1209"/>
      <c r="C248" s="1210"/>
      <c r="D248" s="939"/>
      <c r="E248" s="1211" t="str">
        <f t="shared" si="26"/>
        <v xml:space="preserve"> </v>
      </c>
      <c r="G248" s="1212" t="str">
        <f t="shared" si="27"/>
        <v xml:space="preserve"> </v>
      </c>
      <c r="H248" s="1201"/>
      <c r="I248">
        <f t="shared" si="24"/>
        <v>0</v>
      </c>
      <c r="K248">
        <f t="shared" si="25"/>
        <v>0</v>
      </c>
      <c r="L248" s="1213"/>
      <c r="N248" s="1214" t="str">
        <f t="shared" si="28"/>
        <v xml:space="preserve"> </v>
      </c>
      <c r="O248" s="1215" t="str">
        <f t="shared" si="29"/>
        <v xml:space="preserve"> </v>
      </c>
      <c r="Q248">
        <f t="shared" si="30"/>
        <v>0</v>
      </c>
      <c r="R248">
        <f t="shared" si="31"/>
        <v>0</v>
      </c>
    </row>
    <row r="249" spans="2:18" x14ac:dyDescent="0.2">
      <c r="B249" s="1209"/>
      <c r="C249" s="1210"/>
      <c r="D249" s="939"/>
      <c r="E249" s="1211" t="str">
        <f t="shared" si="26"/>
        <v xml:space="preserve"> </v>
      </c>
      <c r="G249" s="1212" t="str">
        <f t="shared" si="27"/>
        <v xml:space="preserve"> </v>
      </c>
      <c r="H249" s="1201"/>
      <c r="I249">
        <f t="shared" si="24"/>
        <v>0</v>
      </c>
      <c r="K249">
        <f t="shared" si="25"/>
        <v>0</v>
      </c>
      <c r="L249" s="1213"/>
      <c r="N249" s="1214" t="str">
        <f t="shared" si="28"/>
        <v xml:space="preserve"> </v>
      </c>
      <c r="O249" s="1215" t="str">
        <f t="shared" si="29"/>
        <v xml:space="preserve"> </v>
      </c>
      <c r="Q249">
        <f t="shared" si="30"/>
        <v>0</v>
      </c>
      <c r="R249">
        <f t="shared" si="31"/>
        <v>0</v>
      </c>
    </row>
    <row r="250" spans="2:18" x14ac:dyDescent="0.2">
      <c r="B250" s="1209"/>
      <c r="C250" s="1210"/>
      <c r="D250" s="939"/>
      <c r="E250" s="1211" t="str">
        <f t="shared" si="26"/>
        <v xml:space="preserve"> </v>
      </c>
      <c r="G250" s="1212" t="str">
        <f t="shared" si="27"/>
        <v xml:space="preserve"> </v>
      </c>
      <c r="H250" s="1201"/>
      <c r="I250">
        <f t="shared" si="24"/>
        <v>0</v>
      </c>
      <c r="K250">
        <f t="shared" si="25"/>
        <v>0</v>
      </c>
      <c r="L250" s="1213"/>
      <c r="N250" s="1214" t="str">
        <f t="shared" si="28"/>
        <v xml:space="preserve"> </v>
      </c>
      <c r="O250" s="1215" t="str">
        <f t="shared" si="29"/>
        <v xml:space="preserve"> </v>
      </c>
      <c r="Q250">
        <f t="shared" si="30"/>
        <v>0</v>
      </c>
      <c r="R250">
        <f t="shared" si="31"/>
        <v>0</v>
      </c>
    </row>
    <row r="251" spans="2:18" x14ac:dyDescent="0.2">
      <c r="B251" s="1209"/>
      <c r="C251" s="1210"/>
      <c r="D251" s="939"/>
      <c r="E251" s="1211" t="str">
        <f t="shared" si="26"/>
        <v xml:space="preserve"> </v>
      </c>
      <c r="G251" s="1212" t="str">
        <f t="shared" si="27"/>
        <v xml:space="preserve"> </v>
      </c>
      <c r="H251" s="1201"/>
      <c r="I251">
        <f t="shared" si="24"/>
        <v>0</v>
      </c>
      <c r="K251">
        <f t="shared" si="25"/>
        <v>0</v>
      </c>
      <c r="L251" s="1213"/>
      <c r="N251" s="1214" t="str">
        <f t="shared" si="28"/>
        <v xml:space="preserve"> </v>
      </c>
      <c r="O251" s="1215" t="str">
        <f t="shared" si="29"/>
        <v xml:space="preserve"> </v>
      </c>
      <c r="Q251">
        <f t="shared" si="30"/>
        <v>0</v>
      </c>
      <c r="R251">
        <f t="shared" si="31"/>
        <v>0</v>
      </c>
    </row>
    <row r="252" spans="2:18" x14ac:dyDescent="0.2">
      <c r="B252" s="1209"/>
      <c r="C252" s="1210"/>
      <c r="D252" s="939"/>
      <c r="E252" s="1211" t="str">
        <f t="shared" si="26"/>
        <v xml:space="preserve"> </v>
      </c>
      <c r="G252" s="1212" t="str">
        <f t="shared" si="27"/>
        <v xml:space="preserve"> </v>
      </c>
      <c r="H252" s="1201"/>
      <c r="I252">
        <f t="shared" si="24"/>
        <v>0</v>
      </c>
      <c r="K252">
        <f t="shared" si="25"/>
        <v>0</v>
      </c>
      <c r="L252" s="1213"/>
      <c r="N252" s="1214" t="str">
        <f t="shared" si="28"/>
        <v xml:space="preserve"> </v>
      </c>
      <c r="O252" s="1215" t="str">
        <f t="shared" si="29"/>
        <v xml:space="preserve"> </v>
      </c>
      <c r="Q252">
        <f t="shared" si="30"/>
        <v>0</v>
      </c>
      <c r="R252">
        <f t="shared" si="31"/>
        <v>0</v>
      </c>
    </row>
    <row r="253" spans="2:18" x14ac:dyDescent="0.2">
      <c r="B253" s="1209"/>
      <c r="C253" s="1210"/>
      <c r="D253" s="939"/>
      <c r="E253" s="1211" t="str">
        <f t="shared" si="26"/>
        <v xml:space="preserve"> </v>
      </c>
      <c r="G253" s="1212" t="str">
        <f t="shared" si="27"/>
        <v xml:space="preserve"> </v>
      </c>
      <c r="H253" s="1201"/>
      <c r="I253">
        <f t="shared" si="24"/>
        <v>0</v>
      </c>
      <c r="K253">
        <f t="shared" si="25"/>
        <v>0</v>
      </c>
      <c r="L253" s="1213"/>
      <c r="N253" s="1214" t="str">
        <f t="shared" si="28"/>
        <v xml:space="preserve"> </v>
      </c>
      <c r="O253" s="1215" t="str">
        <f t="shared" si="29"/>
        <v xml:space="preserve"> </v>
      </c>
      <c r="Q253">
        <f t="shared" si="30"/>
        <v>0</v>
      </c>
      <c r="R253">
        <f t="shared" si="31"/>
        <v>0</v>
      </c>
    </row>
    <row r="254" spans="2:18" x14ac:dyDescent="0.2">
      <c r="B254" s="1209"/>
      <c r="C254" s="1210"/>
      <c r="D254" s="939"/>
      <c r="E254" s="1211" t="str">
        <f t="shared" si="26"/>
        <v xml:space="preserve"> </v>
      </c>
      <c r="G254" s="1212" t="str">
        <f t="shared" si="27"/>
        <v xml:space="preserve"> </v>
      </c>
      <c r="H254" s="1201"/>
      <c r="I254">
        <f t="shared" si="24"/>
        <v>0</v>
      </c>
      <c r="K254">
        <f t="shared" si="25"/>
        <v>0</v>
      </c>
      <c r="L254" s="1213"/>
      <c r="N254" s="1214" t="str">
        <f t="shared" si="28"/>
        <v xml:space="preserve"> </v>
      </c>
      <c r="O254" s="1215" t="str">
        <f t="shared" si="29"/>
        <v xml:space="preserve"> </v>
      </c>
      <c r="Q254">
        <f t="shared" si="30"/>
        <v>0</v>
      </c>
      <c r="R254">
        <f t="shared" si="31"/>
        <v>0</v>
      </c>
    </row>
    <row r="255" spans="2:18" x14ac:dyDescent="0.2">
      <c r="B255" s="1209"/>
      <c r="C255" s="1210"/>
      <c r="D255" s="939"/>
      <c r="E255" s="1211" t="str">
        <f t="shared" si="26"/>
        <v xml:space="preserve"> </v>
      </c>
      <c r="G255" s="1212" t="str">
        <f t="shared" si="27"/>
        <v xml:space="preserve"> </v>
      </c>
      <c r="H255" s="1201"/>
      <c r="I255">
        <f t="shared" si="24"/>
        <v>0</v>
      </c>
      <c r="K255">
        <f t="shared" si="25"/>
        <v>0</v>
      </c>
      <c r="L255" s="1213"/>
      <c r="N255" s="1214" t="str">
        <f t="shared" si="28"/>
        <v xml:space="preserve"> </v>
      </c>
      <c r="O255" s="1215" t="str">
        <f t="shared" si="29"/>
        <v xml:space="preserve"> </v>
      </c>
      <c r="Q255">
        <f t="shared" si="30"/>
        <v>0</v>
      </c>
      <c r="R255">
        <f t="shared" si="31"/>
        <v>0</v>
      </c>
    </row>
    <row r="256" spans="2:18" x14ac:dyDescent="0.2">
      <c r="B256" s="1209"/>
      <c r="C256" s="1210"/>
      <c r="D256" s="939"/>
      <c r="E256" s="1211" t="str">
        <f t="shared" si="26"/>
        <v xml:space="preserve"> </v>
      </c>
      <c r="G256" s="1212" t="str">
        <f t="shared" si="27"/>
        <v xml:space="preserve"> </v>
      </c>
      <c r="H256" s="1201"/>
      <c r="I256">
        <f t="shared" si="24"/>
        <v>0</v>
      </c>
      <c r="K256">
        <f t="shared" si="25"/>
        <v>0</v>
      </c>
      <c r="L256" s="1213"/>
      <c r="N256" s="1214" t="str">
        <f t="shared" si="28"/>
        <v xml:space="preserve"> </v>
      </c>
      <c r="O256" s="1215" t="str">
        <f t="shared" si="29"/>
        <v xml:space="preserve"> </v>
      </c>
      <c r="Q256">
        <f t="shared" si="30"/>
        <v>0</v>
      </c>
      <c r="R256">
        <f t="shared" si="31"/>
        <v>0</v>
      </c>
    </row>
    <row r="257" spans="2:18" x14ac:dyDescent="0.2">
      <c r="B257" s="1209"/>
      <c r="C257" s="1210"/>
      <c r="D257" s="939"/>
      <c r="E257" s="1211" t="str">
        <f t="shared" si="26"/>
        <v xml:space="preserve"> </v>
      </c>
      <c r="G257" s="1212" t="str">
        <f t="shared" si="27"/>
        <v xml:space="preserve"> </v>
      </c>
      <c r="H257" s="1201"/>
      <c r="I257">
        <f t="shared" si="24"/>
        <v>0</v>
      </c>
      <c r="K257">
        <f t="shared" si="25"/>
        <v>0</v>
      </c>
      <c r="L257" s="1213"/>
      <c r="N257" s="1214" t="str">
        <f t="shared" si="28"/>
        <v xml:space="preserve"> </v>
      </c>
      <c r="O257" s="1215" t="str">
        <f t="shared" si="29"/>
        <v xml:space="preserve"> </v>
      </c>
      <c r="Q257">
        <f t="shared" si="30"/>
        <v>0</v>
      </c>
      <c r="R257">
        <f t="shared" si="31"/>
        <v>0</v>
      </c>
    </row>
    <row r="258" spans="2:18" x14ac:dyDescent="0.2">
      <c r="B258" s="1209"/>
      <c r="C258" s="1210"/>
      <c r="D258" s="939"/>
      <c r="E258" s="1211" t="str">
        <f t="shared" si="26"/>
        <v xml:space="preserve"> </v>
      </c>
      <c r="G258" s="1212" t="str">
        <f t="shared" si="27"/>
        <v xml:space="preserve"> </v>
      </c>
      <c r="H258" s="1201"/>
      <c r="I258">
        <f t="shared" si="24"/>
        <v>0</v>
      </c>
      <c r="K258">
        <f t="shared" si="25"/>
        <v>0</v>
      </c>
      <c r="L258" s="1213"/>
      <c r="N258" s="1214" t="str">
        <f t="shared" si="28"/>
        <v xml:space="preserve"> </v>
      </c>
      <c r="O258" s="1215" t="str">
        <f t="shared" si="29"/>
        <v xml:space="preserve"> </v>
      </c>
      <c r="Q258">
        <f t="shared" si="30"/>
        <v>0</v>
      </c>
      <c r="R258">
        <f t="shared" si="31"/>
        <v>0</v>
      </c>
    </row>
    <row r="259" spans="2:18" x14ac:dyDescent="0.2">
      <c r="B259" s="1209"/>
      <c r="C259" s="1210"/>
      <c r="D259" s="939"/>
      <c r="E259" s="1211" t="str">
        <f t="shared" si="26"/>
        <v xml:space="preserve"> </v>
      </c>
      <c r="G259" s="1212" t="str">
        <f t="shared" si="27"/>
        <v xml:space="preserve"> </v>
      </c>
      <c r="H259" s="1201"/>
      <c r="I259">
        <f t="shared" si="24"/>
        <v>0</v>
      </c>
      <c r="K259">
        <f t="shared" si="25"/>
        <v>0</v>
      </c>
      <c r="L259" s="1213"/>
      <c r="N259" s="1214" t="str">
        <f t="shared" si="28"/>
        <v xml:space="preserve"> </v>
      </c>
      <c r="O259" s="1215" t="str">
        <f t="shared" si="29"/>
        <v xml:space="preserve"> </v>
      </c>
      <c r="Q259">
        <f t="shared" si="30"/>
        <v>0</v>
      </c>
      <c r="R259">
        <f t="shared" si="31"/>
        <v>0</v>
      </c>
    </row>
    <row r="260" spans="2:18" x14ac:dyDescent="0.2">
      <c r="B260" s="1209"/>
      <c r="C260" s="1210"/>
      <c r="D260" s="939"/>
      <c r="E260" s="1211" t="str">
        <f t="shared" si="26"/>
        <v xml:space="preserve"> </v>
      </c>
      <c r="G260" s="1212" t="str">
        <f t="shared" si="27"/>
        <v xml:space="preserve"> </v>
      </c>
      <c r="H260" s="1201"/>
      <c r="I260">
        <f t="shared" si="24"/>
        <v>0</v>
      </c>
      <c r="K260">
        <f t="shared" si="25"/>
        <v>0</v>
      </c>
      <c r="L260" s="1213"/>
      <c r="N260" s="1214" t="str">
        <f t="shared" si="28"/>
        <v xml:space="preserve"> </v>
      </c>
      <c r="O260" s="1215" t="str">
        <f t="shared" si="29"/>
        <v xml:space="preserve"> </v>
      </c>
      <c r="Q260">
        <f t="shared" si="30"/>
        <v>0</v>
      </c>
      <c r="R260">
        <f t="shared" si="31"/>
        <v>0</v>
      </c>
    </row>
    <row r="261" spans="2:18" x14ac:dyDescent="0.2">
      <c r="B261" s="1209"/>
      <c r="C261" s="1210"/>
      <c r="D261" s="939"/>
      <c r="E261" s="1211" t="str">
        <f t="shared" si="26"/>
        <v xml:space="preserve"> </v>
      </c>
      <c r="G261" s="1212" t="str">
        <f t="shared" si="27"/>
        <v xml:space="preserve"> </v>
      </c>
      <c r="H261" s="1201"/>
      <c r="I261">
        <f t="shared" si="24"/>
        <v>0</v>
      </c>
      <c r="K261">
        <f t="shared" si="25"/>
        <v>0</v>
      </c>
      <c r="L261" s="1213"/>
      <c r="N261" s="1214" t="str">
        <f t="shared" si="28"/>
        <v xml:space="preserve"> </v>
      </c>
      <c r="O261" s="1215" t="str">
        <f t="shared" si="29"/>
        <v xml:space="preserve"> </v>
      </c>
      <c r="Q261">
        <f t="shared" si="30"/>
        <v>0</v>
      </c>
      <c r="R261">
        <f t="shared" si="31"/>
        <v>0</v>
      </c>
    </row>
    <row r="262" spans="2:18" x14ac:dyDescent="0.2">
      <c r="B262" s="1209"/>
      <c r="C262" s="1210"/>
      <c r="D262" s="939"/>
      <c r="E262" s="1211" t="str">
        <f t="shared" si="26"/>
        <v xml:space="preserve"> </v>
      </c>
      <c r="G262" s="1212" t="str">
        <f t="shared" si="27"/>
        <v xml:space="preserve"> </v>
      </c>
      <c r="H262" s="1201"/>
      <c r="I262">
        <f t="shared" si="24"/>
        <v>0</v>
      </c>
      <c r="K262">
        <f t="shared" si="25"/>
        <v>0</v>
      </c>
      <c r="L262" s="1213"/>
      <c r="N262" s="1214" t="str">
        <f t="shared" si="28"/>
        <v xml:space="preserve"> </v>
      </c>
      <c r="O262" s="1215" t="str">
        <f t="shared" si="29"/>
        <v xml:space="preserve"> </v>
      </c>
      <c r="Q262">
        <f t="shared" si="30"/>
        <v>0</v>
      </c>
      <c r="R262">
        <f t="shared" si="31"/>
        <v>0</v>
      </c>
    </row>
    <row r="263" spans="2:18" x14ac:dyDescent="0.2">
      <c r="B263" s="1209"/>
      <c r="C263" s="1210"/>
      <c r="D263" s="939"/>
      <c r="E263" s="1211" t="str">
        <f t="shared" si="26"/>
        <v xml:space="preserve"> </v>
      </c>
      <c r="G263" s="1212" t="str">
        <f t="shared" si="27"/>
        <v xml:space="preserve"> </v>
      </c>
      <c r="H263" s="1201"/>
      <c r="I263">
        <f t="shared" si="24"/>
        <v>0</v>
      </c>
      <c r="K263">
        <f t="shared" si="25"/>
        <v>0</v>
      </c>
      <c r="L263" s="1213"/>
      <c r="N263" s="1214" t="str">
        <f t="shared" si="28"/>
        <v xml:space="preserve"> </v>
      </c>
      <c r="O263" s="1215" t="str">
        <f t="shared" si="29"/>
        <v xml:space="preserve"> </v>
      </c>
      <c r="Q263">
        <f t="shared" si="30"/>
        <v>0</v>
      </c>
      <c r="R263">
        <f t="shared" si="31"/>
        <v>0</v>
      </c>
    </row>
    <row r="264" spans="2:18" x14ac:dyDescent="0.2">
      <c r="B264" s="1209"/>
      <c r="C264" s="1210"/>
      <c r="D264" s="939"/>
      <c r="E264" s="1211" t="str">
        <f t="shared" si="26"/>
        <v xml:space="preserve"> </v>
      </c>
      <c r="G264" s="1212" t="str">
        <f t="shared" si="27"/>
        <v xml:space="preserve"> </v>
      </c>
      <c r="H264" s="1201"/>
      <c r="I264">
        <f t="shared" ref="I264:I327" si="32">(J264+C264)/12</f>
        <v>0</v>
      </c>
      <c r="K264">
        <f t="shared" ref="K264:K327" si="33">I264+B264</f>
        <v>0</v>
      </c>
      <c r="L264" s="1213"/>
      <c r="N264" s="1214" t="str">
        <f t="shared" si="28"/>
        <v xml:space="preserve"> </v>
      </c>
      <c r="O264" s="1215" t="str">
        <f t="shared" si="29"/>
        <v xml:space="preserve"> </v>
      </c>
      <c r="Q264">
        <f t="shared" si="30"/>
        <v>0</v>
      </c>
      <c r="R264">
        <f t="shared" si="31"/>
        <v>0</v>
      </c>
    </row>
    <row r="265" spans="2:18" x14ac:dyDescent="0.2">
      <c r="B265" s="1209"/>
      <c r="C265" s="1210"/>
      <c r="D265" s="939"/>
      <c r="E265" s="1211" t="str">
        <f t="shared" si="26"/>
        <v xml:space="preserve"> </v>
      </c>
      <c r="G265" s="1212" t="str">
        <f t="shared" si="27"/>
        <v xml:space="preserve"> </v>
      </c>
      <c r="H265" s="1201"/>
      <c r="I265">
        <f t="shared" si="32"/>
        <v>0</v>
      </c>
      <c r="K265">
        <f t="shared" si="33"/>
        <v>0</v>
      </c>
      <c r="L265" s="1213"/>
      <c r="N265" s="1214" t="str">
        <f t="shared" si="28"/>
        <v xml:space="preserve"> </v>
      </c>
      <c r="O265" s="1215" t="str">
        <f t="shared" si="29"/>
        <v xml:space="preserve"> </v>
      </c>
      <c r="Q265">
        <f t="shared" si="30"/>
        <v>0</v>
      </c>
      <c r="R265">
        <f t="shared" si="31"/>
        <v>0</v>
      </c>
    </row>
    <row r="266" spans="2:18" x14ac:dyDescent="0.2">
      <c r="B266" s="1209"/>
      <c r="C266" s="1210"/>
      <c r="D266" s="939"/>
      <c r="E266" s="1211" t="str">
        <f t="shared" ref="E266:E329" si="34">IF(K266=0," ",IF(K266&gt;0,K266*12*25.4))</f>
        <v xml:space="preserve"> </v>
      </c>
      <c r="G266" s="1212" t="str">
        <f t="shared" ref="G266:G329" si="35">IF(K266=0," ",IF(K266&gt;0,E266/1000))</f>
        <v xml:space="preserve"> </v>
      </c>
      <c r="H266" s="1201"/>
      <c r="I266">
        <f t="shared" si="32"/>
        <v>0</v>
      </c>
      <c r="K266">
        <f t="shared" si="33"/>
        <v>0</v>
      </c>
      <c r="L266" s="1213"/>
      <c r="N266" s="1214" t="str">
        <f t="shared" ref="N266:N329" si="36">IF(R266=0," ",IF(R266&gt;0,TRUNC(R266)))</f>
        <v xml:space="preserve"> </v>
      </c>
      <c r="O266" s="1215" t="str">
        <f t="shared" ref="O266:O329" si="37">IF(R266=0," ",IF(R266&gt;0,(R266-N266)*12))</f>
        <v xml:space="preserve"> </v>
      </c>
      <c r="Q266">
        <f t="shared" ref="Q266:Q329" si="38">L266/25.4</f>
        <v>0</v>
      </c>
      <c r="R266">
        <f t="shared" ref="R266:R329" si="39">Q266/12</f>
        <v>0</v>
      </c>
    </row>
    <row r="267" spans="2:18" x14ac:dyDescent="0.2">
      <c r="B267" s="1209"/>
      <c r="C267" s="1210"/>
      <c r="D267" s="939"/>
      <c r="E267" s="1211" t="str">
        <f t="shared" si="34"/>
        <v xml:space="preserve"> </v>
      </c>
      <c r="G267" s="1212" t="str">
        <f t="shared" si="35"/>
        <v xml:space="preserve"> </v>
      </c>
      <c r="H267" s="1201"/>
      <c r="I267">
        <f t="shared" si="32"/>
        <v>0</v>
      </c>
      <c r="K267">
        <f t="shared" si="33"/>
        <v>0</v>
      </c>
      <c r="L267" s="1213"/>
      <c r="N267" s="1214" t="str">
        <f t="shared" si="36"/>
        <v xml:space="preserve"> </v>
      </c>
      <c r="O267" s="1215" t="str">
        <f t="shared" si="37"/>
        <v xml:space="preserve"> </v>
      </c>
      <c r="Q267">
        <f t="shared" si="38"/>
        <v>0</v>
      </c>
      <c r="R267">
        <f t="shared" si="39"/>
        <v>0</v>
      </c>
    </row>
    <row r="268" spans="2:18" x14ac:dyDescent="0.2">
      <c r="B268" s="1209"/>
      <c r="C268" s="1210"/>
      <c r="D268" s="939"/>
      <c r="E268" s="1211" t="str">
        <f t="shared" si="34"/>
        <v xml:space="preserve"> </v>
      </c>
      <c r="G268" s="1212" t="str">
        <f t="shared" si="35"/>
        <v xml:space="preserve"> </v>
      </c>
      <c r="H268" s="1201"/>
      <c r="I268">
        <f t="shared" si="32"/>
        <v>0</v>
      </c>
      <c r="K268">
        <f t="shared" si="33"/>
        <v>0</v>
      </c>
      <c r="L268" s="1213"/>
      <c r="N268" s="1214" t="str">
        <f t="shared" si="36"/>
        <v xml:space="preserve"> </v>
      </c>
      <c r="O268" s="1215" t="str">
        <f t="shared" si="37"/>
        <v xml:space="preserve"> </v>
      </c>
      <c r="Q268">
        <f t="shared" si="38"/>
        <v>0</v>
      </c>
      <c r="R268">
        <f t="shared" si="39"/>
        <v>0</v>
      </c>
    </row>
    <row r="269" spans="2:18" x14ac:dyDescent="0.2">
      <c r="B269" s="1209"/>
      <c r="C269" s="1210"/>
      <c r="D269" s="939"/>
      <c r="E269" s="1211" t="str">
        <f t="shared" si="34"/>
        <v xml:space="preserve"> </v>
      </c>
      <c r="G269" s="1212" t="str">
        <f t="shared" si="35"/>
        <v xml:space="preserve"> </v>
      </c>
      <c r="H269" s="1201"/>
      <c r="I269">
        <f t="shared" si="32"/>
        <v>0</v>
      </c>
      <c r="K269">
        <f t="shared" si="33"/>
        <v>0</v>
      </c>
      <c r="L269" s="1213"/>
      <c r="N269" s="1214" t="str">
        <f t="shared" si="36"/>
        <v xml:space="preserve"> </v>
      </c>
      <c r="O269" s="1215" t="str">
        <f t="shared" si="37"/>
        <v xml:space="preserve"> </v>
      </c>
      <c r="Q269">
        <f t="shared" si="38"/>
        <v>0</v>
      </c>
      <c r="R269">
        <f t="shared" si="39"/>
        <v>0</v>
      </c>
    </row>
    <row r="270" spans="2:18" x14ac:dyDescent="0.2">
      <c r="B270" s="1209"/>
      <c r="C270" s="1210"/>
      <c r="D270" s="939"/>
      <c r="E270" s="1211" t="str">
        <f t="shared" si="34"/>
        <v xml:space="preserve"> </v>
      </c>
      <c r="G270" s="1212" t="str">
        <f t="shared" si="35"/>
        <v xml:space="preserve"> </v>
      </c>
      <c r="H270" s="1201"/>
      <c r="I270">
        <f t="shared" si="32"/>
        <v>0</v>
      </c>
      <c r="K270">
        <f t="shared" si="33"/>
        <v>0</v>
      </c>
      <c r="L270" s="1213"/>
      <c r="N270" s="1214" t="str">
        <f t="shared" si="36"/>
        <v xml:space="preserve"> </v>
      </c>
      <c r="O270" s="1215" t="str">
        <f t="shared" si="37"/>
        <v xml:space="preserve"> </v>
      </c>
      <c r="Q270">
        <f t="shared" si="38"/>
        <v>0</v>
      </c>
      <c r="R270">
        <f t="shared" si="39"/>
        <v>0</v>
      </c>
    </row>
    <row r="271" spans="2:18" x14ac:dyDescent="0.2">
      <c r="B271" s="1209"/>
      <c r="C271" s="1210"/>
      <c r="D271" s="939"/>
      <c r="E271" s="1211" t="str">
        <f t="shared" si="34"/>
        <v xml:space="preserve"> </v>
      </c>
      <c r="G271" s="1212" t="str">
        <f t="shared" si="35"/>
        <v xml:space="preserve"> </v>
      </c>
      <c r="H271" s="1201"/>
      <c r="I271">
        <f t="shared" si="32"/>
        <v>0</v>
      </c>
      <c r="K271">
        <f t="shared" si="33"/>
        <v>0</v>
      </c>
      <c r="L271" s="1213"/>
      <c r="N271" s="1214" t="str">
        <f t="shared" si="36"/>
        <v xml:space="preserve"> </v>
      </c>
      <c r="O271" s="1215" t="str">
        <f t="shared" si="37"/>
        <v xml:space="preserve"> </v>
      </c>
      <c r="Q271">
        <f t="shared" si="38"/>
        <v>0</v>
      </c>
      <c r="R271">
        <f t="shared" si="39"/>
        <v>0</v>
      </c>
    </row>
    <row r="272" spans="2:18" x14ac:dyDescent="0.2">
      <c r="B272" s="1209"/>
      <c r="C272" s="1210"/>
      <c r="D272" s="939"/>
      <c r="E272" s="1211" t="str">
        <f t="shared" si="34"/>
        <v xml:space="preserve"> </v>
      </c>
      <c r="G272" s="1212" t="str">
        <f t="shared" si="35"/>
        <v xml:space="preserve"> </v>
      </c>
      <c r="H272" s="1201"/>
      <c r="I272">
        <f t="shared" si="32"/>
        <v>0</v>
      </c>
      <c r="K272">
        <f t="shared" si="33"/>
        <v>0</v>
      </c>
      <c r="L272" s="1213"/>
      <c r="N272" s="1214" t="str">
        <f t="shared" si="36"/>
        <v xml:space="preserve"> </v>
      </c>
      <c r="O272" s="1215" t="str">
        <f t="shared" si="37"/>
        <v xml:space="preserve"> </v>
      </c>
      <c r="Q272">
        <f t="shared" si="38"/>
        <v>0</v>
      </c>
      <c r="R272">
        <f t="shared" si="39"/>
        <v>0</v>
      </c>
    </row>
    <row r="273" spans="2:18" x14ac:dyDescent="0.2">
      <c r="B273" s="1209"/>
      <c r="C273" s="1210"/>
      <c r="D273" s="939"/>
      <c r="E273" s="1211" t="str">
        <f t="shared" si="34"/>
        <v xml:space="preserve"> </v>
      </c>
      <c r="G273" s="1212" t="str">
        <f t="shared" si="35"/>
        <v xml:space="preserve"> </v>
      </c>
      <c r="H273" s="1201"/>
      <c r="I273">
        <f t="shared" si="32"/>
        <v>0</v>
      </c>
      <c r="K273">
        <f t="shared" si="33"/>
        <v>0</v>
      </c>
      <c r="L273" s="1213"/>
      <c r="N273" s="1214" t="str">
        <f t="shared" si="36"/>
        <v xml:space="preserve"> </v>
      </c>
      <c r="O273" s="1215" t="str">
        <f t="shared" si="37"/>
        <v xml:space="preserve"> </v>
      </c>
      <c r="Q273">
        <f t="shared" si="38"/>
        <v>0</v>
      </c>
      <c r="R273">
        <f t="shared" si="39"/>
        <v>0</v>
      </c>
    </row>
    <row r="274" spans="2:18" x14ac:dyDescent="0.2">
      <c r="B274" s="1209"/>
      <c r="C274" s="1210"/>
      <c r="D274" s="939"/>
      <c r="E274" s="1211" t="str">
        <f t="shared" si="34"/>
        <v xml:space="preserve"> </v>
      </c>
      <c r="G274" s="1212" t="str">
        <f t="shared" si="35"/>
        <v xml:space="preserve"> </v>
      </c>
      <c r="H274" s="1201"/>
      <c r="I274">
        <f t="shared" si="32"/>
        <v>0</v>
      </c>
      <c r="K274">
        <f t="shared" si="33"/>
        <v>0</v>
      </c>
      <c r="L274" s="1213"/>
      <c r="N274" s="1214" t="str">
        <f t="shared" si="36"/>
        <v xml:space="preserve"> </v>
      </c>
      <c r="O274" s="1215" t="str">
        <f t="shared" si="37"/>
        <v xml:space="preserve"> </v>
      </c>
      <c r="Q274">
        <f t="shared" si="38"/>
        <v>0</v>
      </c>
      <c r="R274">
        <f t="shared" si="39"/>
        <v>0</v>
      </c>
    </row>
    <row r="275" spans="2:18" x14ac:dyDescent="0.2">
      <c r="B275" s="1209"/>
      <c r="C275" s="1210"/>
      <c r="D275" s="939"/>
      <c r="E275" s="1211" t="str">
        <f t="shared" si="34"/>
        <v xml:space="preserve"> </v>
      </c>
      <c r="G275" s="1212" t="str">
        <f t="shared" si="35"/>
        <v xml:space="preserve"> </v>
      </c>
      <c r="H275" s="1201"/>
      <c r="I275">
        <f t="shared" si="32"/>
        <v>0</v>
      </c>
      <c r="K275">
        <f t="shared" si="33"/>
        <v>0</v>
      </c>
      <c r="L275" s="1213"/>
      <c r="N275" s="1214" t="str">
        <f t="shared" si="36"/>
        <v xml:space="preserve"> </v>
      </c>
      <c r="O275" s="1215" t="str">
        <f t="shared" si="37"/>
        <v xml:space="preserve"> </v>
      </c>
      <c r="Q275">
        <f t="shared" si="38"/>
        <v>0</v>
      </c>
      <c r="R275">
        <f t="shared" si="39"/>
        <v>0</v>
      </c>
    </row>
    <row r="276" spans="2:18" x14ac:dyDescent="0.2">
      <c r="B276" s="1209"/>
      <c r="C276" s="1210"/>
      <c r="D276" s="939"/>
      <c r="E276" s="1211" t="str">
        <f t="shared" si="34"/>
        <v xml:space="preserve"> </v>
      </c>
      <c r="G276" s="1212" t="str">
        <f t="shared" si="35"/>
        <v xml:space="preserve"> </v>
      </c>
      <c r="H276" s="1201"/>
      <c r="I276">
        <f t="shared" si="32"/>
        <v>0</v>
      </c>
      <c r="K276">
        <f t="shared" si="33"/>
        <v>0</v>
      </c>
      <c r="L276" s="1213"/>
      <c r="N276" s="1214" t="str">
        <f t="shared" si="36"/>
        <v xml:space="preserve"> </v>
      </c>
      <c r="O276" s="1215" t="str">
        <f t="shared" si="37"/>
        <v xml:space="preserve"> </v>
      </c>
      <c r="Q276">
        <f t="shared" si="38"/>
        <v>0</v>
      </c>
      <c r="R276">
        <f t="shared" si="39"/>
        <v>0</v>
      </c>
    </row>
    <row r="277" spans="2:18" x14ac:dyDescent="0.2">
      <c r="B277" s="1209"/>
      <c r="C277" s="1210"/>
      <c r="D277" s="939"/>
      <c r="E277" s="1211" t="str">
        <f t="shared" si="34"/>
        <v xml:space="preserve"> </v>
      </c>
      <c r="G277" s="1212" t="str">
        <f t="shared" si="35"/>
        <v xml:space="preserve"> </v>
      </c>
      <c r="H277" s="1201"/>
      <c r="I277">
        <f t="shared" si="32"/>
        <v>0</v>
      </c>
      <c r="K277">
        <f t="shared" si="33"/>
        <v>0</v>
      </c>
      <c r="L277" s="1213"/>
      <c r="N277" s="1214" t="str">
        <f t="shared" si="36"/>
        <v xml:space="preserve"> </v>
      </c>
      <c r="O277" s="1215" t="str">
        <f t="shared" si="37"/>
        <v xml:space="preserve"> </v>
      </c>
      <c r="Q277">
        <f t="shared" si="38"/>
        <v>0</v>
      </c>
      <c r="R277">
        <f t="shared" si="39"/>
        <v>0</v>
      </c>
    </row>
    <row r="278" spans="2:18" x14ac:dyDescent="0.2">
      <c r="B278" s="1209"/>
      <c r="C278" s="1210"/>
      <c r="D278" s="939"/>
      <c r="E278" s="1211" t="str">
        <f t="shared" si="34"/>
        <v xml:space="preserve"> </v>
      </c>
      <c r="G278" s="1212" t="str">
        <f t="shared" si="35"/>
        <v xml:space="preserve"> </v>
      </c>
      <c r="H278" s="1201"/>
      <c r="I278">
        <f t="shared" si="32"/>
        <v>0</v>
      </c>
      <c r="K278">
        <f t="shared" si="33"/>
        <v>0</v>
      </c>
      <c r="L278" s="1213"/>
      <c r="N278" s="1214" t="str">
        <f t="shared" si="36"/>
        <v xml:space="preserve"> </v>
      </c>
      <c r="O278" s="1215" t="str">
        <f t="shared" si="37"/>
        <v xml:space="preserve"> </v>
      </c>
      <c r="Q278">
        <f t="shared" si="38"/>
        <v>0</v>
      </c>
      <c r="R278">
        <f t="shared" si="39"/>
        <v>0</v>
      </c>
    </row>
    <row r="279" spans="2:18" x14ac:dyDescent="0.2">
      <c r="B279" s="1209"/>
      <c r="C279" s="1210"/>
      <c r="D279" s="939"/>
      <c r="E279" s="1211" t="str">
        <f t="shared" si="34"/>
        <v xml:space="preserve"> </v>
      </c>
      <c r="G279" s="1212" t="str">
        <f t="shared" si="35"/>
        <v xml:space="preserve"> </v>
      </c>
      <c r="H279" s="1201"/>
      <c r="I279">
        <f t="shared" si="32"/>
        <v>0</v>
      </c>
      <c r="K279">
        <f t="shared" si="33"/>
        <v>0</v>
      </c>
      <c r="L279" s="1213"/>
      <c r="N279" s="1214" t="str">
        <f t="shared" si="36"/>
        <v xml:space="preserve"> </v>
      </c>
      <c r="O279" s="1215" t="str">
        <f t="shared" si="37"/>
        <v xml:space="preserve"> </v>
      </c>
      <c r="Q279">
        <f t="shared" si="38"/>
        <v>0</v>
      </c>
      <c r="R279">
        <f t="shared" si="39"/>
        <v>0</v>
      </c>
    </row>
    <row r="280" spans="2:18" x14ac:dyDescent="0.2">
      <c r="B280" s="1209"/>
      <c r="C280" s="1210"/>
      <c r="D280" s="939"/>
      <c r="E280" s="1211" t="str">
        <f t="shared" si="34"/>
        <v xml:space="preserve"> </v>
      </c>
      <c r="G280" s="1212" t="str">
        <f t="shared" si="35"/>
        <v xml:space="preserve"> </v>
      </c>
      <c r="H280" s="1201"/>
      <c r="I280">
        <f t="shared" si="32"/>
        <v>0</v>
      </c>
      <c r="K280">
        <f t="shared" si="33"/>
        <v>0</v>
      </c>
      <c r="L280" s="1213"/>
      <c r="N280" s="1214" t="str">
        <f t="shared" si="36"/>
        <v xml:space="preserve"> </v>
      </c>
      <c r="O280" s="1215" t="str">
        <f t="shared" si="37"/>
        <v xml:space="preserve"> </v>
      </c>
      <c r="Q280">
        <f t="shared" si="38"/>
        <v>0</v>
      </c>
      <c r="R280">
        <f t="shared" si="39"/>
        <v>0</v>
      </c>
    </row>
    <row r="281" spans="2:18" x14ac:dyDescent="0.2">
      <c r="B281" s="1209"/>
      <c r="C281" s="1210"/>
      <c r="D281" s="939"/>
      <c r="E281" s="1211" t="str">
        <f t="shared" si="34"/>
        <v xml:space="preserve"> </v>
      </c>
      <c r="G281" s="1212" t="str">
        <f t="shared" si="35"/>
        <v xml:space="preserve"> </v>
      </c>
      <c r="H281" s="1201"/>
      <c r="I281">
        <f t="shared" si="32"/>
        <v>0</v>
      </c>
      <c r="K281">
        <f t="shared" si="33"/>
        <v>0</v>
      </c>
      <c r="L281" s="1213"/>
      <c r="N281" s="1214" t="str">
        <f t="shared" si="36"/>
        <v xml:space="preserve"> </v>
      </c>
      <c r="O281" s="1215" t="str">
        <f t="shared" si="37"/>
        <v xml:space="preserve"> </v>
      </c>
      <c r="Q281">
        <f t="shared" si="38"/>
        <v>0</v>
      </c>
      <c r="R281">
        <f t="shared" si="39"/>
        <v>0</v>
      </c>
    </row>
    <row r="282" spans="2:18" x14ac:dyDescent="0.2">
      <c r="B282" s="1209"/>
      <c r="C282" s="1210"/>
      <c r="D282" s="939"/>
      <c r="E282" s="1211" t="str">
        <f t="shared" si="34"/>
        <v xml:space="preserve"> </v>
      </c>
      <c r="G282" s="1212" t="str">
        <f t="shared" si="35"/>
        <v xml:space="preserve"> </v>
      </c>
      <c r="H282" s="1201"/>
      <c r="I282">
        <f t="shared" si="32"/>
        <v>0</v>
      </c>
      <c r="K282">
        <f t="shared" si="33"/>
        <v>0</v>
      </c>
      <c r="L282" s="1213"/>
      <c r="N282" s="1214" t="str">
        <f t="shared" si="36"/>
        <v xml:space="preserve"> </v>
      </c>
      <c r="O282" s="1215" t="str">
        <f t="shared" si="37"/>
        <v xml:space="preserve"> </v>
      </c>
      <c r="Q282">
        <f t="shared" si="38"/>
        <v>0</v>
      </c>
      <c r="R282">
        <f t="shared" si="39"/>
        <v>0</v>
      </c>
    </row>
    <row r="283" spans="2:18" x14ac:dyDescent="0.2">
      <c r="B283" s="1209"/>
      <c r="C283" s="1210"/>
      <c r="D283" s="939"/>
      <c r="E283" s="1211" t="str">
        <f t="shared" si="34"/>
        <v xml:space="preserve"> </v>
      </c>
      <c r="G283" s="1212" t="str">
        <f t="shared" si="35"/>
        <v xml:space="preserve"> </v>
      </c>
      <c r="H283" s="1201"/>
      <c r="I283">
        <f t="shared" si="32"/>
        <v>0</v>
      </c>
      <c r="K283">
        <f t="shared" si="33"/>
        <v>0</v>
      </c>
      <c r="L283" s="1213"/>
      <c r="N283" s="1214" t="str">
        <f t="shared" si="36"/>
        <v xml:space="preserve"> </v>
      </c>
      <c r="O283" s="1215" t="str">
        <f t="shared" si="37"/>
        <v xml:space="preserve"> </v>
      </c>
      <c r="Q283">
        <f t="shared" si="38"/>
        <v>0</v>
      </c>
      <c r="R283">
        <f t="shared" si="39"/>
        <v>0</v>
      </c>
    </row>
    <row r="284" spans="2:18" x14ac:dyDescent="0.2">
      <c r="B284" s="1209"/>
      <c r="C284" s="1210"/>
      <c r="D284" s="939"/>
      <c r="E284" s="1211" t="str">
        <f t="shared" si="34"/>
        <v xml:space="preserve"> </v>
      </c>
      <c r="G284" s="1212" t="str">
        <f t="shared" si="35"/>
        <v xml:space="preserve"> </v>
      </c>
      <c r="H284" s="1201"/>
      <c r="I284">
        <f t="shared" si="32"/>
        <v>0</v>
      </c>
      <c r="K284">
        <f t="shared" si="33"/>
        <v>0</v>
      </c>
      <c r="L284" s="1213"/>
      <c r="N284" s="1214" t="str">
        <f t="shared" si="36"/>
        <v xml:space="preserve"> </v>
      </c>
      <c r="O284" s="1215" t="str">
        <f t="shared" si="37"/>
        <v xml:space="preserve"> </v>
      </c>
      <c r="Q284">
        <f t="shared" si="38"/>
        <v>0</v>
      </c>
      <c r="R284">
        <f t="shared" si="39"/>
        <v>0</v>
      </c>
    </row>
    <row r="285" spans="2:18" x14ac:dyDescent="0.2">
      <c r="B285" s="1209"/>
      <c r="C285" s="1210"/>
      <c r="D285" s="939"/>
      <c r="E285" s="1211" t="str">
        <f t="shared" si="34"/>
        <v xml:space="preserve"> </v>
      </c>
      <c r="G285" s="1212" t="str">
        <f t="shared" si="35"/>
        <v xml:space="preserve"> </v>
      </c>
      <c r="H285" s="1201"/>
      <c r="I285">
        <f t="shared" si="32"/>
        <v>0</v>
      </c>
      <c r="K285">
        <f t="shared" si="33"/>
        <v>0</v>
      </c>
      <c r="L285" s="1213"/>
      <c r="N285" s="1214" t="str">
        <f t="shared" si="36"/>
        <v xml:space="preserve"> </v>
      </c>
      <c r="O285" s="1215" t="str">
        <f t="shared" si="37"/>
        <v xml:space="preserve"> </v>
      </c>
      <c r="Q285">
        <f t="shared" si="38"/>
        <v>0</v>
      </c>
      <c r="R285">
        <f t="shared" si="39"/>
        <v>0</v>
      </c>
    </row>
    <row r="286" spans="2:18" x14ac:dyDescent="0.2">
      <c r="B286" s="1209"/>
      <c r="C286" s="1210"/>
      <c r="D286" s="939"/>
      <c r="E286" s="1211" t="str">
        <f t="shared" si="34"/>
        <v xml:space="preserve"> </v>
      </c>
      <c r="G286" s="1212" t="str">
        <f t="shared" si="35"/>
        <v xml:space="preserve"> </v>
      </c>
      <c r="H286" s="1201"/>
      <c r="I286">
        <f t="shared" si="32"/>
        <v>0</v>
      </c>
      <c r="K286">
        <f t="shared" si="33"/>
        <v>0</v>
      </c>
      <c r="L286" s="1213"/>
      <c r="N286" s="1214" t="str">
        <f t="shared" si="36"/>
        <v xml:space="preserve"> </v>
      </c>
      <c r="O286" s="1215" t="str">
        <f t="shared" si="37"/>
        <v xml:space="preserve"> </v>
      </c>
      <c r="Q286">
        <f t="shared" si="38"/>
        <v>0</v>
      </c>
      <c r="R286">
        <f t="shared" si="39"/>
        <v>0</v>
      </c>
    </row>
    <row r="287" spans="2:18" x14ac:dyDescent="0.2">
      <c r="B287" s="1209"/>
      <c r="C287" s="1210"/>
      <c r="D287" s="939"/>
      <c r="E287" s="1211" t="str">
        <f t="shared" si="34"/>
        <v xml:space="preserve"> </v>
      </c>
      <c r="G287" s="1212" t="str">
        <f t="shared" si="35"/>
        <v xml:space="preserve"> </v>
      </c>
      <c r="H287" s="1201"/>
      <c r="I287">
        <f t="shared" si="32"/>
        <v>0</v>
      </c>
      <c r="K287">
        <f t="shared" si="33"/>
        <v>0</v>
      </c>
      <c r="L287" s="1213"/>
      <c r="N287" s="1214" t="str">
        <f t="shared" si="36"/>
        <v xml:space="preserve"> </v>
      </c>
      <c r="O287" s="1215" t="str">
        <f t="shared" si="37"/>
        <v xml:space="preserve"> </v>
      </c>
      <c r="Q287">
        <f t="shared" si="38"/>
        <v>0</v>
      </c>
      <c r="R287">
        <f t="shared" si="39"/>
        <v>0</v>
      </c>
    </row>
    <row r="288" spans="2:18" x14ac:dyDescent="0.2">
      <c r="B288" s="1209"/>
      <c r="C288" s="1210"/>
      <c r="D288" s="939"/>
      <c r="E288" s="1211" t="str">
        <f t="shared" si="34"/>
        <v xml:space="preserve"> </v>
      </c>
      <c r="G288" s="1212" t="str">
        <f t="shared" si="35"/>
        <v xml:space="preserve"> </v>
      </c>
      <c r="H288" s="1201"/>
      <c r="I288">
        <f t="shared" si="32"/>
        <v>0</v>
      </c>
      <c r="K288">
        <f t="shared" si="33"/>
        <v>0</v>
      </c>
      <c r="L288" s="1213"/>
      <c r="N288" s="1214" t="str">
        <f t="shared" si="36"/>
        <v xml:space="preserve"> </v>
      </c>
      <c r="O288" s="1215" t="str">
        <f t="shared" si="37"/>
        <v xml:space="preserve"> </v>
      </c>
      <c r="Q288">
        <f t="shared" si="38"/>
        <v>0</v>
      </c>
      <c r="R288">
        <f t="shared" si="39"/>
        <v>0</v>
      </c>
    </row>
    <row r="289" spans="2:18" x14ac:dyDescent="0.2">
      <c r="B289" s="1209"/>
      <c r="C289" s="1210"/>
      <c r="D289" s="939"/>
      <c r="E289" s="1211" t="str">
        <f t="shared" si="34"/>
        <v xml:space="preserve"> </v>
      </c>
      <c r="G289" s="1212" t="str">
        <f t="shared" si="35"/>
        <v xml:space="preserve"> </v>
      </c>
      <c r="H289" s="1201"/>
      <c r="I289">
        <f t="shared" si="32"/>
        <v>0</v>
      </c>
      <c r="K289">
        <f t="shared" si="33"/>
        <v>0</v>
      </c>
      <c r="L289" s="1213"/>
      <c r="N289" s="1214" t="str">
        <f t="shared" si="36"/>
        <v xml:space="preserve"> </v>
      </c>
      <c r="O289" s="1215" t="str">
        <f t="shared" si="37"/>
        <v xml:space="preserve"> </v>
      </c>
      <c r="Q289">
        <f t="shared" si="38"/>
        <v>0</v>
      </c>
      <c r="R289">
        <f t="shared" si="39"/>
        <v>0</v>
      </c>
    </row>
    <row r="290" spans="2:18" x14ac:dyDescent="0.2">
      <c r="B290" s="1209"/>
      <c r="C290" s="1210"/>
      <c r="D290" s="939"/>
      <c r="E290" s="1211" t="str">
        <f t="shared" si="34"/>
        <v xml:space="preserve"> </v>
      </c>
      <c r="G290" s="1212" t="str">
        <f t="shared" si="35"/>
        <v xml:space="preserve"> </v>
      </c>
      <c r="H290" s="1201"/>
      <c r="I290">
        <f t="shared" si="32"/>
        <v>0</v>
      </c>
      <c r="K290">
        <f t="shared" si="33"/>
        <v>0</v>
      </c>
      <c r="L290" s="1213"/>
      <c r="N290" s="1214" t="str">
        <f t="shared" si="36"/>
        <v xml:space="preserve"> </v>
      </c>
      <c r="O290" s="1215" t="str">
        <f t="shared" si="37"/>
        <v xml:space="preserve"> </v>
      </c>
      <c r="Q290">
        <f t="shared" si="38"/>
        <v>0</v>
      </c>
      <c r="R290">
        <f t="shared" si="39"/>
        <v>0</v>
      </c>
    </row>
    <row r="291" spans="2:18" x14ac:dyDescent="0.2">
      <c r="B291" s="1209"/>
      <c r="C291" s="1210"/>
      <c r="D291" s="939"/>
      <c r="E291" s="1211" t="str">
        <f t="shared" si="34"/>
        <v xml:space="preserve"> </v>
      </c>
      <c r="G291" s="1212" t="str">
        <f t="shared" si="35"/>
        <v xml:space="preserve"> </v>
      </c>
      <c r="H291" s="1201"/>
      <c r="I291">
        <f t="shared" si="32"/>
        <v>0</v>
      </c>
      <c r="K291">
        <f t="shared" si="33"/>
        <v>0</v>
      </c>
      <c r="L291" s="1213"/>
      <c r="N291" s="1214" t="str">
        <f t="shared" si="36"/>
        <v xml:space="preserve"> </v>
      </c>
      <c r="O291" s="1215" t="str">
        <f t="shared" si="37"/>
        <v xml:space="preserve"> </v>
      </c>
      <c r="Q291">
        <f t="shared" si="38"/>
        <v>0</v>
      </c>
      <c r="R291">
        <f t="shared" si="39"/>
        <v>0</v>
      </c>
    </row>
    <row r="292" spans="2:18" x14ac:dyDescent="0.2">
      <c r="B292" s="1209"/>
      <c r="C292" s="1210"/>
      <c r="D292" s="939"/>
      <c r="E292" s="1211" t="str">
        <f t="shared" si="34"/>
        <v xml:space="preserve"> </v>
      </c>
      <c r="G292" s="1212" t="str">
        <f t="shared" si="35"/>
        <v xml:space="preserve"> </v>
      </c>
      <c r="H292" s="1201"/>
      <c r="I292">
        <f t="shared" si="32"/>
        <v>0</v>
      </c>
      <c r="K292">
        <f t="shared" si="33"/>
        <v>0</v>
      </c>
      <c r="L292" s="1213"/>
      <c r="N292" s="1214" t="str">
        <f t="shared" si="36"/>
        <v xml:space="preserve"> </v>
      </c>
      <c r="O292" s="1215" t="str">
        <f t="shared" si="37"/>
        <v xml:space="preserve"> </v>
      </c>
      <c r="Q292">
        <f t="shared" si="38"/>
        <v>0</v>
      </c>
      <c r="R292">
        <f t="shared" si="39"/>
        <v>0</v>
      </c>
    </row>
    <row r="293" spans="2:18" x14ac:dyDescent="0.2">
      <c r="B293" s="1209"/>
      <c r="C293" s="1210"/>
      <c r="D293" s="939"/>
      <c r="E293" s="1211" t="str">
        <f t="shared" si="34"/>
        <v xml:space="preserve"> </v>
      </c>
      <c r="G293" s="1212" t="str">
        <f t="shared" si="35"/>
        <v xml:space="preserve"> </v>
      </c>
      <c r="H293" s="1201"/>
      <c r="I293">
        <f t="shared" si="32"/>
        <v>0</v>
      </c>
      <c r="K293">
        <f t="shared" si="33"/>
        <v>0</v>
      </c>
      <c r="L293" s="1213"/>
      <c r="N293" s="1214" t="str">
        <f t="shared" si="36"/>
        <v xml:space="preserve"> </v>
      </c>
      <c r="O293" s="1215" t="str">
        <f t="shared" si="37"/>
        <v xml:space="preserve"> </v>
      </c>
      <c r="Q293">
        <f t="shared" si="38"/>
        <v>0</v>
      </c>
      <c r="R293">
        <f t="shared" si="39"/>
        <v>0</v>
      </c>
    </row>
    <row r="294" spans="2:18" x14ac:dyDescent="0.2">
      <c r="B294" s="1209"/>
      <c r="C294" s="1210"/>
      <c r="D294" s="939"/>
      <c r="E294" s="1211" t="str">
        <f t="shared" si="34"/>
        <v xml:space="preserve"> </v>
      </c>
      <c r="G294" s="1212" t="str">
        <f t="shared" si="35"/>
        <v xml:space="preserve"> </v>
      </c>
      <c r="H294" s="1201"/>
      <c r="I294">
        <f t="shared" si="32"/>
        <v>0</v>
      </c>
      <c r="K294">
        <f t="shared" si="33"/>
        <v>0</v>
      </c>
      <c r="L294" s="1213"/>
      <c r="N294" s="1214" t="str">
        <f t="shared" si="36"/>
        <v xml:space="preserve"> </v>
      </c>
      <c r="O294" s="1215" t="str">
        <f t="shared" si="37"/>
        <v xml:space="preserve"> </v>
      </c>
      <c r="Q294">
        <f t="shared" si="38"/>
        <v>0</v>
      </c>
      <c r="R294">
        <f t="shared" si="39"/>
        <v>0</v>
      </c>
    </row>
    <row r="295" spans="2:18" x14ac:dyDescent="0.2">
      <c r="B295" s="1209"/>
      <c r="C295" s="1210"/>
      <c r="D295" s="939"/>
      <c r="E295" s="1211" t="str">
        <f t="shared" si="34"/>
        <v xml:space="preserve"> </v>
      </c>
      <c r="G295" s="1212" t="str">
        <f t="shared" si="35"/>
        <v xml:space="preserve"> </v>
      </c>
      <c r="H295" s="1201"/>
      <c r="I295">
        <f t="shared" si="32"/>
        <v>0</v>
      </c>
      <c r="K295">
        <f t="shared" si="33"/>
        <v>0</v>
      </c>
      <c r="L295" s="1213"/>
      <c r="N295" s="1214" t="str">
        <f t="shared" si="36"/>
        <v xml:space="preserve"> </v>
      </c>
      <c r="O295" s="1215" t="str">
        <f t="shared" si="37"/>
        <v xml:space="preserve"> </v>
      </c>
      <c r="Q295">
        <f t="shared" si="38"/>
        <v>0</v>
      </c>
      <c r="R295">
        <f t="shared" si="39"/>
        <v>0</v>
      </c>
    </row>
    <row r="296" spans="2:18" x14ac:dyDescent="0.2">
      <c r="B296" s="1209"/>
      <c r="C296" s="1210"/>
      <c r="D296" s="939"/>
      <c r="E296" s="1211" t="str">
        <f t="shared" si="34"/>
        <v xml:space="preserve"> </v>
      </c>
      <c r="G296" s="1212" t="str">
        <f t="shared" si="35"/>
        <v xml:space="preserve"> </v>
      </c>
      <c r="H296" s="1201"/>
      <c r="I296">
        <f t="shared" si="32"/>
        <v>0</v>
      </c>
      <c r="K296">
        <f t="shared" si="33"/>
        <v>0</v>
      </c>
      <c r="L296" s="1213"/>
      <c r="N296" s="1214" t="str">
        <f t="shared" si="36"/>
        <v xml:space="preserve"> </v>
      </c>
      <c r="O296" s="1215" t="str">
        <f t="shared" si="37"/>
        <v xml:space="preserve"> </v>
      </c>
      <c r="Q296">
        <f t="shared" si="38"/>
        <v>0</v>
      </c>
      <c r="R296">
        <f t="shared" si="39"/>
        <v>0</v>
      </c>
    </row>
    <row r="297" spans="2:18" x14ac:dyDescent="0.2">
      <c r="B297" s="1209"/>
      <c r="C297" s="1210"/>
      <c r="D297" s="939"/>
      <c r="E297" s="1211" t="str">
        <f t="shared" si="34"/>
        <v xml:space="preserve"> </v>
      </c>
      <c r="G297" s="1212" t="str">
        <f t="shared" si="35"/>
        <v xml:space="preserve"> </v>
      </c>
      <c r="H297" s="1201"/>
      <c r="I297">
        <f t="shared" si="32"/>
        <v>0</v>
      </c>
      <c r="K297">
        <f t="shared" si="33"/>
        <v>0</v>
      </c>
      <c r="L297" s="1213"/>
      <c r="N297" s="1214" t="str">
        <f t="shared" si="36"/>
        <v xml:space="preserve"> </v>
      </c>
      <c r="O297" s="1215" t="str">
        <f t="shared" si="37"/>
        <v xml:space="preserve"> </v>
      </c>
      <c r="Q297">
        <f t="shared" si="38"/>
        <v>0</v>
      </c>
      <c r="R297">
        <f t="shared" si="39"/>
        <v>0</v>
      </c>
    </row>
    <row r="298" spans="2:18" x14ac:dyDescent="0.2">
      <c r="B298" s="1209"/>
      <c r="C298" s="1210"/>
      <c r="D298" s="939"/>
      <c r="E298" s="1211" t="str">
        <f t="shared" si="34"/>
        <v xml:space="preserve"> </v>
      </c>
      <c r="G298" s="1212" t="str">
        <f t="shared" si="35"/>
        <v xml:space="preserve"> </v>
      </c>
      <c r="H298" s="1201"/>
      <c r="I298">
        <f t="shared" si="32"/>
        <v>0</v>
      </c>
      <c r="K298">
        <f t="shared" si="33"/>
        <v>0</v>
      </c>
      <c r="L298" s="1213"/>
      <c r="N298" s="1214" t="str">
        <f t="shared" si="36"/>
        <v xml:space="preserve"> </v>
      </c>
      <c r="O298" s="1215" t="str">
        <f t="shared" si="37"/>
        <v xml:space="preserve"> </v>
      </c>
      <c r="Q298">
        <f t="shared" si="38"/>
        <v>0</v>
      </c>
      <c r="R298">
        <f t="shared" si="39"/>
        <v>0</v>
      </c>
    </row>
    <row r="299" spans="2:18" x14ac:dyDescent="0.2">
      <c r="B299" s="1209"/>
      <c r="C299" s="1210"/>
      <c r="D299" s="939"/>
      <c r="E299" s="1211" t="str">
        <f t="shared" si="34"/>
        <v xml:space="preserve"> </v>
      </c>
      <c r="G299" s="1212" t="str">
        <f t="shared" si="35"/>
        <v xml:space="preserve"> </v>
      </c>
      <c r="H299" s="1201"/>
      <c r="I299">
        <f t="shared" si="32"/>
        <v>0</v>
      </c>
      <c r="K299">
        <f t="shared" si="33"/>
        <v>0</v>
      </c>
      <c r="L299" s="1213"/>
      <c r="N299" s="1214" t="str">
        <f t="shared" si="36"/>
        <v xml:space="preserve"> </v>
      </c>
      <c r="O299" s="1215" t="str">
        <f t="shared" si="37"/>
        <v xml:space="preserve"> </v>
      </c>
      <c r="Q299">
        <f t="shared" si="38"/>
        <v>0</v>
      </c>
      <c r="R299">
        <f t="shared" si="39"/>
        <v>0</v>
      </c>
    </row>
    <row r="300" spans="2:18" x14ac:dyDescent="0.2">
      <c r="B300" s="1209"/>
      <c r="C300" s="1210"/>
      <c r="D300" s="939"/>
      <c r="E300" s="1211" t="str">
        <f t="shared" si="34"/>
        <v xml:space="preserve"> </v>
      </c>
      <c r="G300" s="1212" t="str">
        <f t="shared" si="35"/>
        <v xml:space="preserve"> </v>
      </c>
      <c r="H300" s="1201"/>
      <c r="I300">
        <f t="shared" si="32"/>
        <v>0</v>
      </c>
      <c r="K300">
        <f t="shared" si="33"/>
        <v>0</v>
      </c>
      <c r="L300" s="1213"/>
      <c r="N300" s="1214" t="str">
        <f t="shared" si="36"/>
        <v xml:space="preserve"> </v>
      </c>
      <c r="O300" s="1215" t="str">
        <f t="shared" si="37"/>
        <v xml:space="preserve"> </v>
      </c>
      <c r="Q300">
        <f t="shared" si="38"/>
        <v>0</v>
      </c>
      <c r="R300">
        <f t="shared" si="39"/>
        <v>0</v>
      </c>
    </row>
    <row r="301" spans="2:18" x14ac:dyDescent="0.2">
      <c r="B301" s="1209"/>
      <c r="C301" s="1210"/>
      <c r="D301" s="939"/>
      <c r="E301" s="1211" t="str">
        <f t="shared" si="34"/>
        <v xml:space="preserve"> </v>
      </c>
      <c r="G301" s="1212" t="str">
        <f t="shared" si="35"/>
        <v xml:space="preserve"> </v>
      </c>
      <c r="H301" s="1201"/>
      <c r="I301">
        <f t="shared" si="32"/>
        <v>0</v>
      </c>
      <c r="K301">
        <f t="shared" si="33"/>
        <v>0</v>
      </c>
      <c r="L301" s="1213"/>
      <c r="N301" s="1214" t="str">
        <f t="shared" si="36"/>
        <v xml:space="preserve"> </v>
      </c>
      <c r="O301" s="1215" t="str">
        <f t="shared" si="37"/>
        <v xml:space="preserve"> </v>
      </c>
      <c r="Q301">
        <f t="shared" si="38"/>
        <v>0</v>
      </c>
      <c r="R301">
        <f t="shared" si="39"/>
        <v>0</v>
      </c>
    </row>
    <row r="302" spans="2:18" x14ac:dyDescent="0.2">
      <c r="B302" s="1209"/>
      <c r="C302" s="1210"/>
      <c r="D302" s="939"/>
      <c r="E302" s="1211" t="str">
        <f t="shared" si="34"/>
        <v xml:space="preserve"> </v>
      </c>
      <c r="G302" s="1212" t="str">
        <f t="shared" si="35"/>
        <v xml:space="preserve"> </v>
      </c>
      <c r="H302" s="1201"/>
      <c r="I302">
        <f t="shared" si="32"/>
        <v>0</v>
      </c>
      <c r="K302">
        <f t="shared" si="33"/>
        <v>0</v>
      </c>
      <c r="L302" s="1213"/>
      <c r="N302" s="1214" t="str">
        <f t="shared" si="36"/>
        <v xml:space="preserve"> </v>
      </c>
      <c r="O302" s="1215" t="str">
        <f t="shared" si="37"/>
        <v xml:space="preserve"> </v>
      </c>
      <c r="Q302">
        <f t="shared" si="38"/>
        <v>0</v>
      </c>
      <c r="R302">
        <f t="shared" si="39"/>
        <v>0</v>
      </c>
    </row>
    <row r="303" spans="2:18" x14ac:dyDescent="0.2">
      <c r="B303" s="1209"/>
      <c r="C303" s="1210"/>
      <c r="D303" s="939"/>
      <c r="E303" s="1211" t="str">
        <f t="shared" si="34"/>
        <v xml:space="preserve"> </v>
      </c>
      <c r="G303" s="1212" t="str">
        <f t="shared" si="35"/>
        <v xml:space="preserve"> </v>
      </c>
      <c r="H303" s="1201"/>
      <c r="I303">
        <f t="shared" si="32"/>
        <v>0</v>
      </c>
      <c r="K303">
        <f t="shared" si="33"/>
        <v>0</v>
      </c>
      <c r="L303" s="1213"/>
      <c r="N303" s="1214" t="str">
        <f t="shared" si="36"/>
        <v xml:space="preserve"> </v>
      </c>
      <c r="O303" s="1215" t="str">
        <f t="shared" si="37"/>
        <v xml:space="preserve"> </v>
      </c>
      <c r="Q303">
        <f t="shared" si="38"/>
        <v>0</v>
      </c>
      <c r="R303">
        <f t="shared" si="39"/>
        <v>0</v>
      </c>
    </row>
    <row r="304" spans="2:18" x14ac:dyDescent="0.2">
      <c r="B304" s="1209"/>
      <c r="C304" s="1210"/>
      <c r="D304" s="939"/>
      <c r="E304" s="1211" t="str">
        <f t="shared" si="34"/>
        <v xml:space="preserve"> </v>
      </c>
      <c r="G304" s="1212" t="str">
        <f t="shared" si="35"/>
        <v xml:space="preserve"> </v>
      </c>
      <c r="H304" s="1201"/>
      <c r="I304">
        <f t="shared" si="32"/>
        <v>0</v>
      </c>
      <c r="K304">
        <f t="shared" si="33"/>
        <v>0</v>
      </c>
      <c r="L304" s="1213"/>
      <c r="N304" s="1214" t="str">
        <f t="shared" si="36"/>
        <v xml:space="preserve"> </v>
      </c>
      <c r="O304" s="1215" t="str">
        <f t="shared" si="37"/>
        <v xml:space="preserve"> </v>
      </c>
      <c r="Q304">
        <f t="shared" si="38"/>
        <v>0</v>
      </c>
      <c r="R304">
        <f t="shared" si="39"/>
        <v>0</v>
      </c>
    </row>
    <row r="305" spans="2:18" x14ac:dyDescent="0.2">
      <c r="B305" s="1209"/>
      <c r="C305" s="1210"/>
      <c r="D305" s="939"/>
      <c r="E305" s="1211" t="str">
        <f t="shared" si="34"/>
        <v xml:space="preserve"> </v>
      </c>
      <c r="G305" s="1212" t="str">
        <f t="shared" si="35"/>
        <v xml:space="preserve"> </v>
      </c>
      <c r="H305" s="1201"/>
      <c r="I305">
        <f t="shared" si="32"/>
        <v>0</v>
      </c>
      <c r="K305">
        <f t="shared" si="33"/>
        <v>0</v>
      </c>
      <c r="L305" s="1213"/>
      <c r="N305" s="1214" t="str">
        <f t="shared" si="36"/>
        <v xml:space="preserve"> </v>
      </c>
      <c r="O305" s="1215" t="str">
        <f t="shared" si="37"/>
        <v xml:space="preserve"> </v>
      </c>
      <c r="Q305">
        <f t="shared" si="38"/>
        <v>0</v>
      </c>
      <c r="R305">
        <f t="shared" si="39"/>
        <v>0</v>
      </c>
    </row>
    <row r="306" spans="2:18" x14ac:dyDescent="0.2">
      <c r="B306" s="1209"/>
      <c r="C306" s="1210"/>
      <c r="D306" s="939"/>
      <c r="E306" s="1211" t="str">
        <f t="shared" si="34"/>
        <v xml:space="preserve"> </v>
      </c>
      <c r="G306" s="1212" t="str">
        <f t="shared" si="35"/>
        <v xml:space="preserve"> </v>
      </c>
      <c r="H306" s="1201"/>
      <c r="I306">
        <f t="shared" si="32"/>
        <v>0</v>
      </c>
      <c r="K306">
        <f t="shared" si="33"/>
        <v>0</v>
      </c>
      <c r="L306" s="1213"/>
      <c r="N306" s="1214" t="str">
        <f t="shared" si="36"/>
        <v xml:space="preserve"> </v>
      </c>
      <c r="O306" s="1215" t="str">
        <f t="shared" si="37"/>
        <v xml:space="preserve"> </v>
      </c>
      <c r="Q306">
        <f t="shared" si="38"/>
        <v>0</v>
      </c>
      <c r="R306">
        <f t="shared" si="39"/>
        <v>0</v>
      </c>
    </row>
    <row r="307" spans="2:18" x14ac:dyDescent="0.2">
      <c r="B307" s="1209"/>
      <c r="C307" s="1210"/>
      <c r="D307" s="939"/>
      <c r="E307" s="1211" t="str">
        <f t="shared" si="34"/>
        <v xml:space="preserve"> </v>
      </c>
      <c r="G307" s="1212" t="str">
        <f t="shared" si="35"/>
        <v xml:space="preserve"> </v>
      </c>
      <c r="H307" s="1201"/>
      <c r="I307">
        <f t="shared" si="32"/>
        <v>0</v>
      </c>
      <c r="K307">
        <f t="shared" si="33"/>
        <v>0</v>
      </c>
      <c r="L307" s="1213"/>
      <c r="N307" s="1214" t="str">
        <f t="shared" si="36"/>
        <v xml:space="preserve"> </v>
      </c>
      <c r="O307" s="1215" t="str">
        <f t="shared" si="37"/>
        <v xml:space="preserve"> </v>
      </c>
      <c r="Q307">
        <f t="shared" si="38"/>
        <v>0</v>
      </c>
      <c r="R307">
        <f t="shared" si="39"/>
        <v>0</v>
      </c>
    </row>
    <row r="308" spans="2:18" x14ac:dyDescent="0.2">
      <c r="B308" s="1209"/>
      <c r="C308" s="1210"/>
      <c r="D308" s="939"/>
      <c r="E308" s="1211" t="str">
        <f t="shared" si="34"/>
        <v xml:space="preserve"> </v>
      </c>
      <c r="G308" s="1212" t="str">
        <f t="shared" si="35"/>
        <v xml:space="preserve"> </v>
      </c>
      <c r="H308" s="1201"/>
      <c r="I308">
        <f t="shared" si="32"/>
        <v>0</v>
      </c>
      <c r="K308">
        <f t="shared" si="33"/>
        <v>0</v>
      </c>
      <c r="L308" s="1213"/>
      <c r="N308" s="1214" t="str">
        <f t="shared" si="36"/>
        <v xml:space="preserve"> </v>
      </c>
      <c r="O308" s="1215" t="str">
        <f t="shared" si="37"/>
        <v xml:space="preserve"> </v>
      </c>
      <c r="Q308">
        <f t="shared" si="38"/>
        <v>0</v>
      </c>
      <c r="R308">
        <f t="shared" si="39"/>
        <v>0</v>
      </c>
    </row>
    <row r="309" spans="2:18" x14ac:dyDescent="0.2">
      <c r="B309" s="1209"/>
      <c r="C309" s="1210"/>
      <c r="D309" s="939"/>
      <c r="E309" s="1211" t="str">
        <f t="shared" si="34"/>
        <v xml:space="preserve"> </v>
      </c>
      <c r="G309" s="1212" t="str">
        <f t="shared" si="35"/>
        <v xml:space="preserve"> </v>
      </c>
      <c r="H309" s="1201"/>
      <c r="I309">
        <f t="shared" si="32"/>
        <v>0</v>
      </c>
      <c r="K309">
        <f t="shared" si="33"/>
        <v>0</v>
      </c>
      <c r="L309" s="1213"/>
      <c r="N309" s="1214" t="str">
        <f t="shared" si="36"/>
        <v xml:space="preserve"> </v>
      </c>
      <c r="O309" s="1215" t="str">
        <f t="shared" si="37"/>
        <v xml:space="preserve"> </v>
      </c>
      <c r="Q309">
        <f t="shared" si="38"/>
        <v>0</v>
      </c>
      <c r="R309">
        <f t="shared" si="39"/>
        <v>0</v>
      </c>
    </row>
    <row r="310" spans="2:18" x14ac:dyDescent="0.2">
      <c r="B310" s="1209"/>
      <c r="C310" s="1210"/>
      <c r="D310" s="939"/>
      <c r="E310" s="1211" t="str">
        <f t="shared" si="34"/>
        <v xml:space="preserve"> </v>
      </c>
      <c r="G310" s="1212" t="str">
        <f t="shared" si="35"/>
        <v xml:space="preserve"> </v>
      </c>
      <c r="H310" s="1201"/>
      <c r="I310">
        <f t="shared" si="32"/>
        <v>0</v>
      </c>
      <c r="K310">
        <f t="shared" si="33"/>
        <v>0</v>
      </c>
      <c r="L310" s="1213"/>
      <c r="N310" s="1214" t="str">
        <f t="shared" si="36"/>
        <v xml:space="preserve"> </v>
      </c>
      <c r="O310" s="1215" t="str">
        <f t="shared" si="37"/>
        <v xml:space="preserve"> </v>
      </c>
      <c r="Q310">
        <f t="shared" si="38"/>
        <v>0</v>
      </c>
      <c r="R310">
        <f t="shared" si="39"/>
        <v>0</v>
      </c>
    </row>
    <row r="311" spans="2:18" x14ac:dyDescent="0.2">
      <c r="B311" s="1209"/>
      <c r="C311" s="1210"/>
      <c r="D311" s="939"/>
      <c r="E311" s="1211" t="str">
        <f t="shared" si="34"/>
        <v xml:space="preserve"> </v>
      </c>
      <c r="G311" s="1212" t="str">
        <f t="shared" si="35"/>
        <v xml:space="preserve"> </v>
      </c>
      <c r="H311" s="1201"/>
      <c r="I311">
        <f t="shared" si="32"/>
        <v>0</v>
      </c>
      <c r="K311">
        <f t="shared" si="33"/>
        <v>0</v>
      </c>
      <c r="L311" s="1213"/>
      <c r="N311" s="1214" t="str">
        <f t="shared" si="36"/>
        <v xml:space="preserve"> </v>
      </c>
      <c r="O311" s="1215" t="str">
        <f t="shared" si="37"/>
        <v xml:space="preserve"> </v>
      </c>
      <c r="Q311">
        <f t="shared" si="38"/>
        <v>0</v>
      </c>
      <c r="R311">
        <f t="shared" si="39"/>
        <v>0</v>
      </c>
    </row>
    <row r="312" spans="2:18" x14ac:dyDescent="0.2">
      <c r="B312" s="1209"/>
      <c r="C312" s="1210"/>
      <c r="D312" s="939"/>
      <c r="E312" s="1211" t="str">
        <f t="shared" si="34"/>
        <v xml:space="preserve"> </v>
      </c>
      <c r="G312" s="1212" t="str">
        <f t="shared" si="35"/>
        <v xml:space="preserve"> </v>
      </c>
      <c r="H312" s="1201"/>
      <c r="I312">
        <f t="shared" si="32"/>
        <v>0</v>
      </c>
      <c r="K312">
        <f t="shared" si="33"/>
        <v>0</v>
      </c>
      <c r="L312" s="1213"/>
      <c r="N312" s="1214" t="str">
        <f t="shared" si="36"/>
        <v xml:space="preserve"> </v>
      </c>
      <c r="O312" s="1215" t="str">
        <f t="shared" si="37"/>
        <v xml:space="preserve"> </v>
      </c>
      <c r="Q312">
        <f t="shared" si="38"/>
        <v>0</v>
      </c>
      <c r="R312">
        <f t="shared" si="39"/>
        <v>0</v>
      </c>
    </row>
    <row r="313" spans="2:18" x14ac:dyDescent="0.2">
      <c r="B313" s="1209"/>
      <c r="C313" s="1210"/>
      <c r="D313" s="939"/>
      <c r="E313" s="1211" t="str">
        <f t="shared" si="34"/>
        <v xml:space="preserve"> </v>
      </c>
      <c r="G313" s="1212" t="str">
        <f t="shared" si="35"/>
        <v xml:space="preserve"> </v>
      </c>
      <c r="H313" s="1201"/>
      <c r="I313">
        <f t="shared" si="32"/>
        <v>0</v>
      </c>
      <c r="K313">
        <f t="shared" si="33"/>
        <v>0</v>
      </c>
      <c r="L313" s="1213"/>
      <c r="N313" s="1214" t="str">
        <f t="shared" si="36"/>
        <v xml:space="preserve"> </v>
      </c>
      <c r="O313" s="1215" t="str">
        <f t="shared" si="37"/>
        <v xml:space="preserve"> </v>
      </c>
      <c r="Q313">
        <f t="shared" si="38"/>
        <v>0</v>
      </c>
      <c r="R313">
        <f t="shared" si="39"/>
        <v>0</v>
      </c>
    </row>
    <row r="314" spans="2:18" x14ac:dyDescent="0.2">
      <c r="B314" s="1209"/>
      <c r="C314" s="1210"/>
      <c r="D314" s="939"/>
      <c r="E314" s="1211" t="str">
        <f t="shared" si="34"/>
        <v xml:space="preserve"> </v>
      </c>
      <c r="G314" s="1212" t="str">
        <f t="shared" si="35"/>
        <v xml:space="preserve"> </v>
      </c>
      <c r="H314" s="1201"/>
      <c r="I314">
        <f t="shared" si="32"/>
        <v>0</v>
      </c>
      <c r="K314">
        <f t="shared" si="33"/>
        <v>0</v>
      </c>
      <c r="L314" s="1213"/>
      <c r="N314" s="1214" t="str">
        <f t="shared" si="36"/>
        <v xml:space="preserve"> </v>
      </c>
      <c r="O314" s="1215" t="str">
        <f t="shared" si="37"/>
        <v xml:space="preserve"> </v>
      </c>
      <c r="Q314">
        <f t="shared" si="38"/>
        <v>0</v>
      </c>
      <c r="R314">
        <f t="shared" si="39"/>
        <v>0</v>
      </c>
    </row>
    <row r="315" spans="2:18" x14ac:dyDescent="0.2">
      <c r="B315" s="1209"/>
      <c r="C315" s="1210"/>
      <c r="D315" s="939"/>
      <c r="E315" s="1211" t="str">
        <f t="shared" si="34"/>
        <v xml:space="preserve"> </v>
      </c>
      <c r="G315" s="1212" t="str">
        <f t="shared" si="35"/>
        <v xml:space="preserve"> </v>
      </c>
      <c r="H315" s="1201"/>
      <c r="I315">
        <f t="shared" si="32"/>
        <v>0</v>
      </c>
      <c r="K315">
        <f t="shared" si="33"/>
        <v>0</v>
      </c>
      <c r="L315" s="1213"/>
      <c r="N315" s="1214" t="str">
        <f t="shared" si="36"/>
        <v xml:space="preserve"> </v>
      </c>
      <c r="O315" s="1215" t="str">
        <f t="shared" si="37"/>
        <v xml:space="preserve"> </v>
      </c>
      <c r="Q315">
        <f t="shared" si="38"/>
        <v>0</v>
      </c>
      <c r="R315">
        <f t="shared" si="39"/>
        <v>0</v>
      </c>
    </row>
    <row r="316" spans="2:18" x14ac:dyDescent="0.2">
      <c r="B316" s="1209"/>
      <c r="C316" s="1210"/>
      <c r="D316" s="939"/>
      <c r="E316" s="1211" t="str">
        <f t="shared" si="34"/>
        <v xml:space="preserve"> </v>
      </c>
      <c r="G316" s="1212" t="str">
        <f t="shared" si="35"/>
        <v xml:space="preserve"> </v>
      </c>
      <c r="H316" s="1201"/>
      <c r="I316">
        <f t="shared" si="32"/>
        <v>0</v>
      </c>
      <c r="K316">
        <f t="shared" si="33"/>
        <v>0</v>
      </c>
      <c r="L316" s="1213"/>
      <c r="N316" s="1214" t="str">
        <f t="shared" si="36"/>
        <v xml:space="preserve"> </v>
      </c>
      <c r="O316" s="1215" t="str">
        <f t="shared" si="37"/>
        <v xml:space="preserve"> </v>
      </c>
      <c r="Q316">
        <f t="shared" si="38"/>
        <v>0</v>
      </c>
      <c r="R316">
        <f t="shared" si="39"/>
        <v>0</v>
      </c>
    </row>
    <row r="317" spans="2:18" x14ac:dyDescent="0.2">
      <c r="B317" s="1209"/>
      <c r="C317" s="1210"/>
      <c r="D317" s="939"/>
      <c r="E317" s="1211" t="str">
        <f t="shared" si="34"/>
        <v xml:space="preserve"> </v>
      </c>
      <c r="G317" s="1212" t="str">
        <f t="shared" si="35"/>
        <v xml:space="preserve"> </v>
      </c>
      <c r="H317" s="1201"/>
      <c r="I317">
        <f t="shared" si="32"/>
        <v>0</v>
      </c>
      <c r="K317">
        <f t="shared" si="33"/>
        <v>0</v>
      </c>
      <c r="L317" s="1213"/>
      <c r="N317" s="1214" t="str">
        <f t="shared" si="36"/>
        <v xml:space="preserve"> </v>
      </c>
      <c r="O317" s="1215" t="str">
        <f t="shared" si="37"/>
        <v xml:space="preserve"> </v>
      </c>
      <c r="Q317">
        <f t="shared" si="38"/>
        <v>0</v>
      </c>
      <c r="R317">
        <f t="shared" si="39"/>
        <v>0</v>
      </c>
    </row>
    <row r="318" spans="2:18" x14ac:dyDescent="0.2">
      <c r="B318" s="1209"/>
      <c r="C318" s="1210"/>
      <c r="D318" s="939"/>
      <c r="E318" s="1211" t="str">
        <f t="shared" si="34"/>
        <v xml:space="preserve"> </v>
      </c>
      <c r="G318" s="1212" t="str">
        <f t="shared" si="35"/>
        <v xml:space="preserve"> </v>
      </c>
      <c r="H318" s="1201"/>
      <c r="I318">
        <f t="shared" si="32"/>
        <v>0</v>
      </c>
      <c r="K318">
        <f t="shared" si="33"/>
        <v>0</v>
      </c>
      <c r="L318" s="1213"/>
      <c r="N318" s="1214" t="str">
        <f t="shared" si="36"/>
        <v xml:space="preserve"> </v>
      </c>
      <c r="O318" s="1215" t="str">
        <f t="shared" si="37"/>
        <v xml:space="preserve"> </v>
      </c>
      <c r="Q318">
        <f t="shared" si="38"/>
        <v>0</v>
      </c>
      <c r="R318">
        <f t="shared" si="39"/>
        <v>0</v>
      </c>
    </row>
    <row r="319" spans="2:18" x14ac:dyDescent="0.2">
      <c r="B319" s="1209"/>
      <c r="C319" s="1210"/>
      <c r="D319" s="939"/>
      <c r="E319" s="1211" t="str">
        <f t="shared" si="34"/>
        <v xml:space="preserve"> </v>
      </c>
      <c r="G319" s="1212" t="str">
        <f t="shared" si="35"/>
        <v xml:space="preserve"> </v>
      </c>
      <c r="H319" s="1201"/>
      <c r="I319">
        <f t="shared" si="32"/>
        <v>0</v>
      </c>
      <c r="K319">
        <f t="shared" si="33"/>
        <v>0</v>
      </c>
      <c r="L319" s="1213"/>
      <c r="N319" s="1214" t="str">
        <f t="shared" si="36"/>
        <v xml:space="preserve"> </v>
      </c>
      <c r="O319" s="1215" t="str">
        <f t="shared" si="37"/>
        <v xml:space="preserve"> </v>
      </c>
      <c r="Q319">
        <f t="shared" si="38"/>
        <v>0</v>
      </c>
      <c r="R319">
        <f t="shared" si="39"/>
        <v>0</v>
      </c>
    </row>
    <row r="320" spans="2:18" x14ac:dyDescent="0.2">
      <c r="B320" s="1209"/>
      <c r="C320" s="1210"/>
      <c r="D320" s="939"/>
      <c r="E320" s="1211" t="str">
        <f t="shared" si="34"/>
        <v xml:space="preserve"> </v>
      </c>
      <c r="G320" s="1212" t="str">
        <f t="shared" si="35"/>
        <v xml:space="preserve"> </v>
      </c>
      <c r="H320" s="1201"/>
      <c r="I320">
        <f t="shared" si="32"/>
        <v>0</v>
      </c>
      <c r="K320">
        <f t="shared" si="33"/>
        <v>0</v>
      </c>
      <c r="L320" s="1213"/>
      <c r="N320" s="1214" t="str">
        <f t="shared" si="36"/>
        <v xml:space="preserve"> </v>
      </c>
      <c r="O320" s="1215" t="str">
        <f t="shared" si="37"/>
        <v xml:space="preserve"> </v>
      </c>
      <c r="Q320">
        <f t="shared" si="38"/>
        <v>0</v>
      </c>
      <c r="R320">
        <f t="shared" si="39"/>
        <v>0</v>
      </c>
    </row>
    <row r="321" spans="2:18" x14ac:dyDescent="0.2">
      <c r="B321" s="1209"/>
      <c r="C321" s="1210"/>
      <c r="D321" s="939"/>
      <c r="E321" s="1211" t="str">
        <f t="shared" si="34"/>
        <v xml:space="preserve"> </v>
      </c>
      <c r="G321" s="1212" t="str">
        <f t="shared" si="35"/>
        <v xml:space="preserve"> </v>
      </c>
      <c r="H321" s="1201"/>
      <c r="I321">
        <f t="shared" si="32"/>
        <v>0</v>
      </c>
      <c r="K321">
        <f t="shared" si="33"/>
        <v>0</v>
      </c>
      <c r="L321" s="1213"/>
      <c r="N321" s="1214" t="str">
        <f t="shared" si="36"/>
        <v xml:space="preserve"> </v>
      </c>
      <c r="O321" s="1215" t="str">
        <f t="shared" si="37"/>
        <v xml:space="preserve"> </v>
      </c>
      <c r="Q321">
        <f t="shared" si="38"/>
        <v>0</v>
      </c>
      <c r="R321">
        <f t="shared" si="39"/>
        <v>0</v>
      </c>
    </row>
    <row r="322" spans="2:18" x14ac:dyDescent="0.2">
      <c r="B322" s="1209"/>
      <c r="C322" s="1210"/>
      <c r="D322" s="939"/>
      <c r="E322" s="1211" t="str">
        <f t="shared" si="34"/>
        <v xml:space="preserve"> </v>
      </c>
      <c r="G322" s="1212" t="str">
        <f t="shared" si="35"/>
        <v xml:space="preserve"> </v>
      </c>
      <c r="H322" s="1201"/>
      <c r="I322">
        <f t="shared" si="32"/>
        <v>0</v>
      </c>
      <c r="K322">
        <f t="shared" si="33"/>
        <v>0</v>
      </c>
      <c r="L322" s="1213"/>
      <c r="N322" s="1214" t="str">
        <f t="shared" si="36"/>
        <v xml:space="preserve"> </v>
      </c>
      <c r="O322" s="1215" t="str">
        <f t="shared" si="37"/>
        <v xml:space="preserve"> </v>
      </c>
      <c r="Q322">
        <f t="shared" si="38"/>
        <v>0</v>
      </c>
      <c r="R322">
        <f t="shared" si="39"/>
        <v>0</v>
      </c>
    </row>
    <row r="323" spans="2:18" x14ac:dyDescent="0.2">
      <c r="B323" s="1209"/>
      <c r="C323" s="1210"/>
      <c r="D323" s="939"/>
      <c r="E323" s="1211" t="str">
        <f t="shared" si="34"/>
        <v xml:space="preserve"> </v>
      </c>
      <c r="G323" s="1212" t="str">
        <f t="shared" si="35"/>
        <v xml:space="preserve"> </v>
      </c>
      <c r="H323" s="1201"/>
      <c r="I323">
        <f t="shared" si="32"/>
        <v>0</v>
      </c>
      <c r="K323">
        <f t="shared" si="33"/>
        <v>0</v>
      </c>
      <c r="L323" s="1213"/>
      <c r="N323" s="1214" t="str">
        <f t="shared" si="36"/>
        <v xml:space="preserve"> </v>
      </c>
      <c r="O323" s="1215" t="str">
        <f t="shared" si="37"/>
        <v xml:space="preserve"> </v>
      </c>
      <c r="Q323">
        <f t="shared" si="38"/>
        <v>0</v>
      </c>
      <c r="R323">
        <f t="shared" si="39"/>
        <v>0</v>
      </c>
    </row>
    <row r="324" spans="2:18" x14ac:dyDescent="0.2">
      <c r="B324" s="1209"/>
      <c r="C324" s="1210"/>
      <c r="D324" s="939"/>
      <c r="E324" s="1211" t="str">
        <f t="shared" si="34"/>
        <v xml:space="preserve"> </v>
      </c>
      <c r="G324" s="1212" t="str">
        <f t="shared" si="35"/>
        <v xml:space="preserve"> </v>
      </c>
      <c r="H324" s="1201"/>
      <c r="I324">
        <f t="shared" si="32"/>
        <v>0</v>
      </c>
      <c r="K324">
        <f t="shared" si="33"/>
        <v>0</v>
      </c>
      <c r="L324" s="1213"/>
      <c r="N324" s="1214" t="str">
        <f t="shared" si="36"/>
        <v xml:space="preserve"> </v>
      </c>
      <c r="O324" s="1215" t="str">
        <f t="shared" si="37"/>
        <v xml:space="preserve"> </v>
      </c>
      <c r="Q324">
        <f t="shared" si="38"/>
        <v>0</v>
      </c>
      <c r="R324">
        <f t="shared" si="39"/>
        <v>0</v>
      </c>
    </row>
    <row r="325" spans="2:18" x14ac:dyDescent="0.2">
      <c r="B325" s="1209"/>
      <c r="C325" s="1210"/>
      <c r="D325" s="939"/>
      <c r="E325" s="1211" t="str">
        <f t="shared" si="34"/>
        <v xml:space="preserve"> </v>
      </c>
      <c r="G325" s="1212" t="str">
        <f t="shared" si="35"/>
        <v xml:space="preserve"> </v>
      </c>
      <c r="H325" s="1201"/>
      <c r="I325">
        <f t="shared" si="32"/>
        <v>0</v>
      </c>
      <c r="K325">
        <f t="shared" si="33"/>
        <v>0</v>
      </c>
      <c r="L325" s="1213"/>
      <c r="N325" s="1214" t="str">
        <f t="shared" si="36"/>
        <v xml:space="preserve"> </v>
      </c>
      <c r="O325" s="1215" t="str">
        <f t="shared" si="37"/>
        <v xml:space="preserve"> </v>
      </c>
      <c r="Q325">
        <f t="shared" si="38"/>
        <v>0</v>
      </c>
      <c r="R325">
        <f t="shared" si="39"/>
        <v>0</v>
      </c>
    </row>
    <row r="326" spans="2:18" x14ac:dyDescent="0.2">
      <c r="B326" s="1209"/>
      <c r="C326" s="1210"/>
      <c r="D326" s="939"/>
      <c r="E326" s="1211" t="str">
        <f t="shared" si="34"/>
        <v xml:space="preserve"> </v>
      </c>
      <c r="G326" s="1212" t="str">
        <f t="shared" si="35"/>
        <v xml:space="preserve"> </v>
      </c>
      <c r="H326" s="1201"/>
      <c r="I326">
        <f t="shared" si="32"/>
        <v>0</v>
      </c>
      <c r="K326">
        <f t="shared" si="33"/>
        <v>0</v>
      </c>
      <c r="L326" s="1213"/>
      <c r="N326" s="1214" t="str">
        <f t="shared" si="36"/>
        <v xml:space="preserve"> </v>
      </c>
      <c r="O326" s="1215" t="str">
        <f t="shared" si="37"/>
        <v xml:space="preserve"> </v>
      </c>
      <c r="Q326">
        <f t="shared" si="38"/>
        <v>0</v>
      </c>
      <c r="R326">
        <f t="shared" si="39"/>
        <v>0</v>
      </c>
    </row>
    <row r="327" spans="2:18" x14ac:dyDescent="0.2">
      <c r="B327" s="1209"/>
      <c r="C327" s="1210"/>
      <c r="D327" s="939"/>
      <c r="E327" s="1211" t="str">
        <f t="shared" si="34"/>
        <v xml:space="preserve"> </v>
      </c>
      <c r="G327" s="1212" t="str">
        <f t="shared" si="35"/>
        <v xml:space="preserve"> </v>
      </c>
      <c r="H327" s="1201"/>
      <c r="I327">
        <f t="shared" si="32"/>
        <v>0</v>
      </c>
      <c r="K327">
        <f t="shared" si="33"/>
        <v>0</v>
      </c>
      <c r="L327" s="1213"/>
      <c r="N327" s="1214" t="str">
        <f t="shared" si="36"/>
        <v xml:space="preserve"> </v>
      </c>
      <c r="O327" s="1215" t="str">
        <f t="shared" si="37"/>
        <v xml:space="preserve"> </v>
      </c>
      <c r="Q327">
        <f t="shared" si="38"/>
        <v>0</v>
      </c>
      <c r="R327">
        <f t="shared" si="39"/>
        <v>0</v>
      </c>
    </row>
    <row r="328" spans="2:18" x14ac:dyDescent="0.2">
      <c r="B328" s="1209"/>
      <c r="C328" s="1210"/>
      <c r="D328" s="939"/>
      <c r="E328" s="1211" t="str">
        <f t="shared" si="34"/>
        <v xml:space="preserve"> </v>
      </c>
      <c r="G328" s="1212" t="str">
        <f t="shared" si="35"/>
        <v xml:space="preserve"> </v>
      </c>
      <c r="H328" s="1201"/>
      <c r="I328">
        <f t="shared" ref="I328:I391" si="40">(J328+C328)/12</f>
        <v>0</v>
      </c>
      <c r="K328">
        <f t="shared" ref="K328:K391" si="41">I328+B328</f>
        <v>0</v>
      </c>
      <c r="L328" s="1213"/>
      <c r="N328" s="1214" t="str">
        <f t="shared" si="36"/>
        <v xml:space="preserve"> </v>
      </c>
      <c r="O328" s="1215" t="str">
        <f t="shared" si="37"/>
        <v xml:space="preserve"> </v>
      </c>
      <c r="Q328">
        <f t="shared" si="38"/>
        <v>0</v>
      </c>
      <c r="R328">
        <f t="shared" si="39"/>
        <v>0</v>
      </c>
    </row>
    <row r="329" spans="2:18" x14ac:dyDescent="0.2">
      <c r="B329" s="1209"/>
      <c r="C329" s="1210"/>
      <c r="D329" s="939"/>
      <c r="E329" s="1211" t="str">
        <f t="shared" si="34"/>
        <v xml:space="preserve"> </v>
      </c>
      <c r="G329" s="1212" t="str">
        <f t="shared" si="35"/>
        <v xml:space="preserve"> </v>
      </c>
      <c r="H329" s="1201"/>
      <c r="I329">
        <f t="shared" si="40"/>
        <v>0</v>
      </c>
      <c r="K329">
        <f t="shared" si="41"/>
        <v>0</v>
      </c>
      <c r="L329" s="1213"/>
      <c r="N329" s="1214" t="str">
        <f t="shared" si="36"/>
        <v xml:space="preserve"> </v>
      </c>
      <c r="O329" s="1215" t="str">
        <f t="shared" si="37"/>
        <v xml:space="preserve"> </v>
      </c>
      <c r="Q329">
        <f t="shared" si="38"/>
        <v>0</v>
      </c>
      <c r="R329">
        <f t="shared" si="39"/>
        <v>0</v>
      </c>
    </row>
    <row r="330" spans="2:18" x14ac:dyDescent="0.2">
      <c r="B330" s="1209"/>
      <c r="C330" s="1210"/>
      <c r="D330" s="939"/>
      <c r="E330" s="1211" t="str">
        <f t="shared" ref="E330:E393" si="42">IF(K330=0," ",IF(K330&gt;0,K330*12*25.4))</f>
        <v xml:space="preserve"> </v>
      </c>
      <c r="G330" s="1212" t="str">
        <f t="shared" ref="G330:G393" si="43">IF(K330=0," ",IF(K330&gt;0,E330/1000))</f>
        <v xml:space="preserve"> </v>
      </c>
      <c r="H330" s="1201"/>
      <c r="I330">
        <f t="shared" si="40"/>
        <v>0</v>
      </c>
      <c r="K330">
        <f t="shared" si="41"/>
        <v>0</v>
      </c>
      <c r="L330" s="1213"/>
      <c r="N330" s="1214" t="str">
        <f t="shared" ref="N330:N393" si="44">IF(R330=0," ",IF(R330&gt;0,TRUNC(R330)))</f>
        <v xml:space="preserve"> </v>
      </c>
      <c r="O330" s="1215" t="str">
        <f t="shared" ref="O330:O393" si="45">IF(R330=0," ",IF(R330&gt;0,(R330-N330)*12))</f>
        <v xml:space="preserve"> </v>
      </c>
      <c r="Q330">
        <f t="shared" ref="Q330:Q393" si="46">L330/25.4</f>
        <v>0</v>
      </c>
      <c r="R330">
        <f t="shared" ref="R330:R393" si="47">Q330/12</f>
        <v>0</v>
      </c>
    </row>
    <row r="331" spans="2:18" x14ac:dyDescent="0.2">
      <c r="B331" s="1209"/>
      <c r="C331" s="1210"/>
      <c r="D331" s="939"/>
      <c r="E331" s="1211" t="str">
        <f t="shared" si="42"/>
        <v xml:space="preserve"> </v>
      </c>
      <c r="G331" s="1212" t="str">
        <f t="shared" si="43"/>
        <v xml:space="preserve"> </v>
      </c>
      <c r="H331" s="1201"/>
      <c r="I331">
        <f t="shared" si="40"/>
        <v>0</v>
      </c>
      <c r="K331">
        <f t="shared" si="41"/>
        <v>0</v>
      </c>
      <c r="L331" s="1213"/>
      <c r="N331" s="1214" t="str">
        <f t="shared" si="44"/>
        <v xml:space="preserve"> </v>
      </c>
      <c r="O331" s="1215" t="str">
        <f t="shared" si="45"/>
        <v xml:space="preserve"> </v>
      </c>
      <c r="Q331">
        <f t="shared" si="46"/>
        <v>0</v>
      </c>
      <c r="R331">
        <f t="shared" si="47"/>
        <v>0</v>
      </c>
    </row>
    <row r="332" spans="2:18" x14ac:dyDescent="0.2">
      <c r="B332" s="1209"/>
      <c r="C332" s="1210"/>
      <c r="D332" s="939"/>
      <c r="E332" s="1211" t="str">
        <f t="shared" si="42"/>
        <v xml:space="preserve"> </v>
      </c>
      <c r="G332" s="1212" t="str">
        <f t="shared" si="43"/>
        <v xml:space="preserve"> </v>
      </c>
      <c r="H332" s="1201"/>
      <c r="I332">
        <f t="shared" si="40"/>
        <v>0</v>
      </c>
      <c r="K332">
        <f t="shared" si="41"/>
        <v>0</v>
      </c>
      <c r="L332" s="1213"/>
      <c r="N332" s="1214" t="str">
        <f t="shared" si="44"/>
        <v xml:space="preserve"> </v>
      </c>
      <c r="O332" s="1215" t="str">
        <f t="shared" si="45"/>
        <v xml:space="preserve"> </v>
      </c>
      <c r="Q332">
        <f t="shared" si="46"/>
        <v>0</v>
      </c>
      <c r="R332">
        <f t="shared" si="47"/>
        <v>0</v>
      </c>
    </row>
    <row r="333" spans="2:18" x14ac:dyDescent="0.2">
      <c r="B333" s="1209"/>
      <c r="C333" s="1210"/>
      <c r="D333" s="939"/>
      <c r="E333" s="1211" t="str">
        <f t="shared" si="42"/>
        <v xml:space="preserve"> </v>
      </c>
      <c r="G333" s="1212" t="str">
        <f t="shared" si="43"/>
        <v xml:space="preserve"> </v>
      </c>
      <c r="H333" s="1201"/>
      <c r="I333">
        <f t="shared" si="40"/>
        <v>0</v>
      </c>
      <c r="K333">
        <f t="shared" si="41"/>
        <v>0</v>
      </c>
      <c r="L333" s="1213"/>
      <c r="N333" s="1214" t="str">
        <f t="shared" si="44"/>
        <v xml:space="preserve"> </v>
      </c>
      <c r="O333" s="1215" t="str">
        <f t="shared" si="45"/>
        <v xml:space="preserve"> </v>
      </c>
      <c r="Q333">
        <f t="shared" si="46"/>
        <v>0</v>
      </c>
      <c r="R333">
        <f t="shared" si="47"/>
        <v>0</v>
      </c>
    </row>
    <row r="334" spans="2:18" x14ac:dyDescent="0.2">
      <c r="B334" s="1209"/>
      <c r="C334" s="1210"/>
      <c r="D334" s="939"/>
      <c r="E334" s="1211" t="str">
        <f t="shared" si="42"/>
        <v xml:space="preserve"> </v>
      </c>
      <c r="G334" s="1212" t="str">
        <f t="shared" si="43"/>
        <v xml:space="preserve"> </v>
      </c>
      <c r="H334" s="1201"/>
      <c r="I334">
        <f t="shared" si="40"/>
        <v>0</v>
      </c>
      <c r="K334">
        <f t="shared" si="41"/>
        <v>0</v>
      </c>
      <c r="L334" s="1213"/>
      <c r="N334" s="1214" t="str">
        <f t="shared" si="44"/>
        <v xml:space="preserve"> </v>
      </c>
      <c r="O334" s="1215" t="str">
        <f t="shared" si="45"/>
        <v xml:space="preserve"> </v>
      </c>
      <c r="Q334">
        <f t="shared" si="46"/>
        <v>0</v>
      </c>
      <c r="R334">
        <f t="shared" si="47"/>
        <v>0</v>
      </c>
    </row>
    <row r="335" spans="2:18" x14ac:dyDescent="0.2">
      <c r="B335" s="1209"/>
      <c r="C335" s="1210"/>
      <c r="D335" s="939"/>
      <c r="E335" s="1211" t="str">
        <f t="shared" si="42"/>
        <v xml:space="preserve"> </v>
      </c>
      <c r="G335" s="1212" t="str">
        <f t="shared" si="43"/>
        <v xml:space="preserve"> </v>
      </c>
      <c r="H335" s="1201"/>
      <c r="I335">
        <f t="shared" si="40"/>
        <v>0</v>
      </c>
      <c r="K335">
        <f t="shared" si="41"/>
        <v>0</v>
      </c>
      <c r="L335" s="1213"/>
      <c r="N335" s="1214" t="str">
        <f t="shared" si="44"/>
        <v xml:space="preserve"> </v>
      </c>
      <c r="O335" s="1215" t="str">
        <f t="shared" si="45"/>
        <v xml:space="preserve"> </v>
      </c>
      <c r="Q335">
        <f t="shared" si="46"/>
        <v>0</v>
      </c>
      <c r="R335">
        <f t="shared" si="47"/>
        <v>0</v>
      </c>
    </row>
    <row r="336" spans="2:18" x14ac:dyDescent="0.2">
      <c r="B336" s="1209"/>
      <c r="C336" s="1210"/>
      <c r="D336" s="939"/>
      <c r="E336" s="1211" t="str">
        <f t="shared" si="42"/>
        <v xml:space="preserve"> </v>
      </c>
      <c r="G336" s="1212" t="str">
        <f t="shared" si="43"/>
        <v xml:space="preserve"> </v>
      </c>
      <c r="H336" s="1201"/>
      <c r="I336">
        <f t="shared" si="40"/>
        <v>0</v>
      </c>
      <c r="K336">
        <f t="shared" si="41"/>
        <v>0</v>
      </c>
      <c r="L336" s="1213"/>
      <c r="N336" s="1214" t="str">
        <f t="shared" si="44"/>
        <v xml:space="preserve"> </v>
      </c>
      <c r="O336" s="1215" t="str">
        <f t="shared" si="45"/>
        <v xml:space="preserve"> </v>
      </c>
      <c r="Q336">
        <f t="shared" si="46"/>
        <v>0</v>
      </c>
      <c r="R336">
        <f t="shared" si="47"/>
        <v>0</v>
      </c>
    </row>
    <row r="337" spans="2:18" x14ac:dyDescent="0.2">
      <c r="B337" s="1209"/>
      <c r="C337" s="1210"/>
      <c r="D337" s="939"/>
      <c r="E337" s="1211" t="str">
        <f t="shared" si="42"/>
        <v xml:space="preserve"> </v>
      </c>
      <c r="G337" s="1212" t="str">
        <f t="shared" si="43"/>
        <v xml:space="preserve"> </v>
      </c>
      <c r="H337" s="1201"/>
      <c r="I337">
        <f t="shared" si="40"/>
        <v>0</v>
      </c>
      <c r="K337">
        <f t="shared" si="41"/>
        <v>0</v>
      </c>
      <c r="L337" s="1213"/>
      <c r="N337" s="1214" t="str">
        <f t="shared" si="44"/>
        <v xml:space="preserve"> </v>
      </c>
      <c r="O337" s="1215" t="str">
        <f t="shared" si="45"/>
        <v xml:space="preserve"> </v>
      </c>
      <c r="Q337">
        <f t="shared" si="46"/>
        <v>0</v>
      </c>
      <c r="R337">
        <f t="shared" si="47"/>
        <v>0</v>
      </c>
    </row>
    <row r="338" spans="2:18" x14ac:dyDescent="0.2">
      <c r="B338" s="1209"/>
      <c r="C338" s="1210"/>
      <c r="D338" s="939"/>
      <c r="E338" s="1211" t="str">
        <f t="shared" si="42"/>
        <v xml:space="preserve"> </v>
      </c>
      <c r="G338" s="1212" t="str">
        <f t="shared" si="43"/>
        <v xml:space="preserve"> </v>
      </c>
      <c r="H338" s="1201"/>
      <c r="I338">
        <f t="shared" si="40"/>
        <v>0</v>
      </c>
      <c r="K338">
        <f t="shared" si="41"/>
        <v>0</v>
      </c>
      <c r="L338" s="1213"/>
      <c r="N338" s="1214" t="str">
        <f t="shared" si="44"/>
        <v xml:space="preserve"> </v>
      </c>
      <c r="O338" s="1215" t="str">
        <f t="shared" si="45"/>
        <v xml:space="preserve"> </v>
      </c>
      <c r="Q338">
        <f t="shared" si="46"/>
        <v>0</v>
      </c>
      <c r="R338">
        <f t="shared" si="47"/>
        <v>0</v>
      </c>
    </row>
    <row r="339" spans="2:18" x14ac:dyDescent="0.2">
      <c r="B339" s="1209"/>
      <c r="C339" s="1210"/>
      <c r="D339" s="939"/>
      <c r="E339" s="1211" t="str">
        <f t="shared" si="42"/>
        <v xml:space="preserve"> </v>
      </c>
      <c r="G339" s="1212" t="str">
        <f t="shared" si="43"/>
        <v xml:space="preserve"> </v>
      </c>
      <c r="H339" s="1201"/>
      <c r="I339">
        <f t="shared" si="40"/>
        <v>0</v>
      </c>
      <c r="K339">
        <f t="shared" si="41"/>
        <v>0</v>
      </c>
      <c r="L339" s="1213"/>
      <c r="N339" s="1214" t="str">
        <f t="shared" si="44"/>
        <v xml:space="preserve"> </v>
      </c>
      <c r="O339" s="1215" t="str">
        <f t="shared" si="45"/>
        <v xml:space="preserve"> </v>
      </c>
      <c r="Q339">
        <f t="shared" si="46"/>
        <v>0</v>
      </c>
      <c r="R339">
        <f t="shared" si="47"/>
        <v>0</v>
      </c>
    </row>
    <row r="340" spans="2:18" x14ac:dyDescent="0.2">
      <c r="B340" s="1209"/>
      <c r="C340" s="1210"/>
      <c r="D340" s="939"/>
      <c r="E340" s="1211" t="str">
        <f t="shared" si="42"/>
        <v xml:space="preserve"> </v>
      </c>
      <c r="G340" s="1212" t="str">
        <f t="shared" si="43"/>
        <v xml:space="preserve"> </v>
      </c>
      <c r="H340" s="1201"/>
      <c r="I340">
        <f t="shared" si="40"/>
        <v>0</v>
      </c>
      <c r="K340">
        <f t="shared" si="41"/>
        <v>0</v>
      </c>
      <c r="L340" s="1213"/>
      <c r="N340" s="1214" t="str">
        <f t="shared" si="44"/>
        <v xml:space="preserve"> </v>
      </c>
      <c r="O340" s="1215" t="str">
        <f t="shared" si="45"/>
        <v xml:space="preserve"> </v>
      </c>
      <c r="Q340">
        <f t="shared" si="46"/>
        <v>0</v>
      </c>
      <c r="R340">
        <f t="shared" si="47"/>
        <v>0</v>
      </c>
    </row>
    <row r="341" spans="2:18" x14ac:dyDescent="0.2">
      <c r="B341" s="1209"/>
      <c r="C341" s="1210"/>
      <c r="D341" s="939"/>
      <c r="E341" s="1211" t="str">
        <f t="shared" si="42"/>
        <v xml:space="preserve"> </v>
      </c>
      <c r="G341" s="1212" t="str">
        <f t="shared" si="43"/>
        <v xml:space="preserve"> </v>
      </c>
      <c r="H341" s="1201"/>
      <c r="I341">
        <f t="shared" si="40"/>
        <v>0</v>
      </c>
      <c r="K341">
        <f t="shared" si="41"/>
        <v>0</v>
      </c>
      <c r="L341" s="1213"/>
      <c r="N341" s="1214" t="str">
        <f t="shared" si="44"/>
        <v xml:space="preserve"> </v>
      </c>
      <c r="O341" s="1215" t="str">
        <f t="shared" si="45"/>
        <v xml:space="preserve"> </v>
      </c>
      <c r="Q341">
        <f t="shared" si="46"/>
        <v>0</v>
      </c>
      <c r="R341">
        <f t="shared" si="47"/>
        <v>0</v>
      </c>
    </row>
    <row r="342" spans="2:18" x14ac:dyDescent="0.2">
      <c r="B342" s="1209"/>
      <c r="C342" s="1210"/>
      <c r="D342" s="939"/>
      <c r="E342" s="1211" t="str">
        <f t="shared" si="42"/>
        <v xml:space="preserve"> </v>
      </c>
      <c r="G342" s="1212" t="str">
        <f t="shared" si="43"/>
        <v xml:space="preserve"> </v>
      </c>
      <c r="H342" s="1201"/>
      <c r="I342">
        <f t="shared" si="40"/>
        <v>0</v>
      </c>
      <c r="K342">
        <f t="shared" si="41"/>
        <v>0</v>
      </c>
      <c r="L342" s="1213"/>
      <c r="N342" s="1214" t="str">
        <f t="shared" si="44"/>
        <v xml:space="preserve"> </v>
      </c>
      <c r="O342" s="1215" t="str">
        <f t="shared" si="45"/>
        <v xml:space="preserve"> </v>
      </c>
      <c r="Q342">
        <f t="shared" si="46"/>
        <v>0</v>
      </c>
      <c r="R342">
        <f t="shared" si="47"/>
        <v>0</v>
      </c>
    </row>
    <row r="343" spans="2:18" x14ac:dyDescent="0.2">
      <c r="B343" s="1209"/>
      <c r="C343" s="1210"/>
      <c r="D343" s="939"/>
      <c r="E343" s="1211" t="str">
        <f t="shared" si="42"/>
        <v xml:space="preserve"> </v>
      </c>
      <c r="G343" s="1212" t="str">
        <f t="shared" si="43"/>
        <v xml:space="preserve"> </v>
      </c>
      <c r="H343" s="1201"/>
      <c r="I343">
        <f t="shared" si="40"/>
        <v>0</v>
      </c>
      <c r="K343">
        <f t="shared" si="41"/>
        <v>0</v>
      </c>
      <c r="L343" s="1213"/>
      <c r="N343" s="1214" t="str">
        <f t="shared" si="44"/>
        <v xml:space="preserve"> </v>
      </c>
      <c r="O343" s="1215" t="str">
        <f t="shared" si="45"/>
        <v xml:space="preserve"> </v>
      </c>
      <c r="Q343">
        <f t="shared" si="46"/>
        <v>0</v>
      </c>
      <c r="R343">
        <f t="shared" si="47"/>
        <v>0</v>
      </c>
    </row>
    <row r="344" spans="2:18" x14ac:dyDescent="0.2">
      <c r="B344" s="1209"/>
      <c r="C344" s="1210"/>
      <c r="D344" s="939"/>
      <c r="E344" s="1211" t="str">
        <f t="shared" si="42"/>
        <v xml:space="preserve"> </v>
      </c>
      <c r="G344" s="1212" t="str">
        <f t="shared" si="43"/>
        <v xml:space="preserve"> </v>
      </c>
      <c r="H344" s="1201"/>
      <c r="I344">
        <f t="shared" si="40"/>
        <v>0</v>
      </c>
      <c r="K344">
        <f t="shared" si="41"/>
        <v>0</v>
      </c>
      <c r="L344" s="1213"/>
      <c r="N344" s="1214" t="str">
        <f t="shared" si="44"/>
        <v xml:space="preserve"> </v>
      </c>
      <c r="O344" s="1215" t="str">
        <f t="shared" si="45"/>
        <v xml:space="preserve"> </v>
      </c>
      <c r="Q344">
        <f t="shared" si="46"/>
        <v>0</v>
      </c>
      <c r="R344">
        <f t="shared" si="47"/>
        <v>0</v>
      </c>
    </row>
    <row r="345" spans="2:18" x14ac:dyDescent="0.2">
      <c r="B345" s="1209"/>
      <c r="C345" s="1210"/>
      <c r="D345" s="939"/>
      <c r="E345" s="1211" t="str">
        <f t="shared" si="42"/>
        <v xml:space="preserve"> </v>
      </c>
      <c r="G345" s="1212" t="str">
        <f t="shared" si="43"/>
        <v xml:space="preserve"> </v>
      </c>
      <c r="H345" s="1201"/>
      <c r="I345">
        <f t="shared" si="40"/>
        <v>0</v>
      </c>
      <c r="K345">
        <f t="shared" si="41"/>
        <v>0</v>
      </c>
      <c r="L345" s="1213"/>
      <c r="N345" s="1214" t="str">
        <f t="shared" si="44"/>
        <v xml:space="preserve"> </v>
      </c>
      <c r="O345" s="1215" t="str">
        <f t="shared" si="45"/>
        <v xml:space="preserve"> </v>
      </c>
      <c r="Q345">
        <f t="shared" si="46"/>
        <v>0</v>
      </c>
      <c r="R345">
        <f t="shared" si="47"/>
        <v>0</v>
      </c>
    </row>
    <row r="346" spans="2:18" x14ac:dyDescent="0.2">
      <c r="B346" s="1209"/>
      <c r="C346" s="1210"/>
      <c r="D346" s="939"/>
      <c r="E346" s="1211" t="str">
        <f t="shared" si="42"/>
        <v xml:space="preserve"> </v>
      </c>
      <c r="G346" s="1212" t="str">
        <f t="shared" si="43"/>
        <v xml:space="preserve"> </v>
      </c>
      <c r="H346" s="1201"/>
      <c r="I346">
        <f t="shared" si="40"/>
        <v>0</v>
      </c>
      <c r="K346">
        <f t="shared" si="41"/>
        <v>0</v>
      </c>
      <c r="L346" s="1213"/>
      <c r="N346" s="1214" t="str">
        <f t="shared" si="44"/>
        <v xml:space="preserve"> </v>
      </c>
      <c r="O346" s="1215" t="str">
        <f t="shared" si="45"/>
        <v xml:space="preserve"> </v>
      </c>
      <c r="Q346">
        <f t="shared" si="46"/>
        <v>0</v>
      </c>
      <c r="R346">
        <f t="shared" si="47"/>
        <v>0</v>
      </c>
    </row>
    <row r="347" spans="2:18" x14ac:dyDescent="0.2">
      <c r="B347" s="1209"/>
      <c r="C347" s="1210"/>
      <c r="D347" s="939"/>
      <c r="E347" s="1211" t="str">
        <f t="shared" si="42"/>
        <v xml:space="preserve"> </v>
      </c>
      <c r="G347" s="1212" t="str">
        <f t="shared" si="43"/>
        <v xml:space="preserve"> </v>
      </c>
      <c r="H347" s="1201"/>
      <c r="I347">
        <f t="shared" si="40"/>
        <v>0</v>
      </c>
      <c r="K347">
        <f t="shared" si="41"/>
        <v>0</v>
      </c>
      <c r="L347" s="1213"/>
      <c r="N347" s="1214" t="str">
        <f t="shared" si="44"/>
        <v xml:space="preserve"> </v>
      </c>
      <c r="O347" s="1215" t="str">
        <f t="shared" si="45"/>
        <v xml:space="preserve"> </v>
      </c>
      <c r="Q347">
        <f t="shared" si="46"/>
        <v>0</v>
      </c>
      <c r="R347">
        <f t="shared" si="47"/>
        <v>0</v>
      </c>
    </row>
    <row r="348" spans="2:18" x14ac:dyDescent="0.2">
      <c r="B348" s="1209"/>
      <c r="C348" s="1210"/>
      <c r="D348" s="939"/>
      <c r="E348" s="1211" t="str">
        <f t="shared" si="42"/>
        <v xml:space="preserve"> </v>
      </c>
      <c r="G348" s="1212" t="str">
        <f t="shared" si="43"/>
        <v xml:space="preserve"> </v>
      </c>
      <c r="H348" s="1201"/>
      <c r="I348">
        <f t="shared" si="40"/>
        <v>0</v>
      </c>
      <c r="K348">
        <f t="shared" si="41"/>
        <v>0</v>
      </c>
      <c r="L348" s="1213"/>
      <c r="N348" s="1214" t="str">
        <f t="shared" si="44"/>
        <v xml:space="preserve"> </v>
      </c>
      <c r="O348" s="1215" t="str">
        <f t="shared" si="45"/>
        <v xml:space="preserve"> </v>
      </c>
      <c r="Q348">
        <f t="shared" si="46"/>
        <v>0</v>
      </c>
      <c r="R348">
        <f t="shared" si="47"/>
        <v>0</v>
      </c>
    </row>
    <row r="349" spans="2:18" x14ac:dyDescent="0.2">
      <c r="B349" s="1209"/>
      <c r="C349" s="1210"/>
      <c r="D349" s="939"/>
      <c r="E349" s="1211" t="str">
        <f t="shared" si="42"/>
        <v xml:space="preserve"> </v>
      </c>
      <c r="G349" s="1212" t="str">
        <f t="shared" si="43"/>
        <v xml:space="preserve"> </v>
      </c>
      <c r="H349" s="1201"/>
      <c r="I349">
        <f t="shared" si="40"/>
        <v>0</v>
      </c>
      <c r="K349">
        <f t="shared" si="41"/>
        <v>0</v>
      </c>
      <c r="L349" s="1213"/>
      <c r="N349" s="1214" t="str">
        <f t="shared" si="44"/>
        <v xml:space="preserve"> </v>
      </c>
      <c r="O349" s="1215" t="str">
        <f t="shared" si="45"/>
        <v xml:space="preserve"> </v>
      </c>
      <c r="Q349">
        <f t="shared" si="46"/>
        <v>0</v>
      </c>
      <c r="R349">
        <f t="shared" si="47"/>
        <v>0</v>
      </c>
    </row>
    <row r="350" spans="2:18" x14ac:dyDescent="0.2">
      <c r="B350" s="1209"/>
      <c r="C350" s="1210"/>
      <c r="D350" s="939"/>
      <c r="E350" s="1211" t="str">
        <f t="shared" si="42"/>
        <v xml:space="preserve"> </v>
      </c>
      <c r="G350" s="1212" t="str">
        <f t="shared" si="43"/>
        <v xml:space="preserve"> </v>
      </c>
      <c r="H350" s="1201"/>
      <c r="I350">
        <f t="shared" si="40"/>
        <v>0</v>
      </c>
      <c r="K350">
        <f t="shared" si="41"/>
        <v>0</v>
      </c>
      <c r="L350" s="1213"/>
      <c r="N350" s="1214" t="str">
        <f t="shared" si="44"/>
        <v xml:space="preserve"> </v>
      </c>
      <c r="O350" s="1215" t="str">
        <f t="shared" si="45"/>
        <v xml:space="preserve"> </v>
      </c>
      <c r="Q350">
        <f t="shared" si="46"/>
        <v>0</v>
      </c>
      <c r="R350">
        <f t="shared" si="47"/>
        <v>0</v>
      </c>
    </row>
    <row r="351" spans="2:18" x14ac:dyDescent="0.2">
      <c r="B351" s="1209"/>
      <c r="C351" s="1210"/>
      <c r="D351" s="939"/>
      <c r="E351" s="1211" t="str">
        <f t="shared" si="42"/>
        <v xml:space="preserve"> </v>
      </c>
      <c r="G351" s="1212" t="str">
        <f t="shared" si="43"/>
        <v xml:space="preserve"> </v>
      </c>
      <c r="H351" s="1201"/>
      <c r="I351">
        <f t="shared" si="40"/>
        <v>0</v>
      </c>
      <c r="K351">
        <f t="shared" si="41"/>
        <v>0</v>
      </c>
      <c r="L351" s="1213"/>
      <c r="N351" s="1214" t="str">
        <f t="shared" si="44"/>
        <v xml:space="preserve"> </v>
      </c>
      <c r="O351" s="1215" t="str">
        <f t="shared" si="45"/>
        <v xml:space="preserve"> </v>
      </c>
      <c r="Q351">
        <f t="shared" si="46"/>
        <v>0</v>
      </c>
      <c r="R351">
        <f t="shared" si="47"/>
        <v>0</v>
      </c>
    </row>
    <row r="352" spans="2:18" x14ac:dyDescent="0.2">
      <c r="B352" s="1209"/>
      <c r="C352" s="1210"/>
      <c r="D352" s="939"/>
      <c r="E352" s="1211" t="str">
        <f t="shared" si="42"/>
        <v xml:space="preserve"> </v>
      </c>
      <c r="G352" s="1212" t="str">
        <f t="shared" si="43"/>
        <v xml:space="preserve"> </v>
      </c>
      <c r="H352" s="1201"/>
      <c r="I352">
        <f t="shared" si="40"/>
        <v>0</v>
      </c>
      <c r="K352">
        <f t="shared" si="41"/>
        <v>0</v>
      </c>
      <c r="L352" s="1213"/>
      <c r="N352" s="1214" t="str">
        <f t="shared" si="44"/>
        <v xml:space="preserve"> </v>
      </c>
      <c r="O352" s="1215" t="str">
        <f t="shared" si="45"/>
        <v xml:space="preserve"> </v>
      </c>
      <c r="Q352">
        <f t="shared" si="46"/>
        <v>0</v>
      </c>
      <c r="R352">
        <f t="shared" si="47"/>
        <v>0</v>
      </c>
    </row>
    <row r="353" spans="2:18" x14ac:dyDescent="0.2">
      <c r="B353" s="1209"/>
      <c r="C353" s="1210"/>
      <c r="D353" s="939"/>
      <c r="E353" s="1211" t="str">
        <f t="shared" si="42"/>
        <v xml:space="preserve"> </v>
      </c>
      <c r="G353" s="1212" t="str">
        <f t="shared" si="43"/>
        <v xml:space="preserve"> </v>
      </c>
      <c r="H353" s="1201"/>
      <c r="I353">
        <f t="shared" si="40"/>
        <v>0</v>
      </c>
      <c r="K353">
        <f t="shared" si="41"/>
        <v>0</v>
      </c>
      <c r="L353" s="1213"/>
      <c r="N353" s="1214" t="str">
        <f t="shared" si="44"/>
        <v xml:space="preserve"> </v>
      </c>
      <c r="O353" s="1215" t="str">
        <f t="shared" si="45"/>
        <v xml:space="preserve"> </v>
      </c>
      <c r="Q353">
        <f t="shared" si="46"/>
        <v>0</v>
      </c>
      <c r="R353">
        <f t="shared" si="47"/>
        <v>0</v>
      </c>
    </row>
    <row r="354" spans="2:18" x14ac:dyDescent="0.2">
      <c r="B354" s="1209"/>
      <c r="C354" s="1210"/>
      <c r="D354" s="939"/>
      <c r="E354" s="1211" t="str">
        <f t="shared" si="42"/>
        <v xml:space="preserve"> </v>
      </c>
      <c r="G354" s="1212" t="str">
        <f t="shared" si="43"/>
        <v xml:space="preserve"> </v>
      </c>
      <c r="H354" s="1201"/>
      <c r="I354">
        <f t="shared" si="40"/>
        <v>0</v>
      </c>
      <c r="K354">
        <f t="shared" si="41"/>
        <v>0</v>
      </c>
      <c r="L354" s="1213"/>
      <c r="N354" s="1214" t="str">
        <f t="shared" si="44"/>
        <v xml:space="preserve"> </v>
      </c>
      <c r="O354" s="1215" t="str">
        <f t="shared" si="45"/>
        <v xml:space="preserve"> </v>
      </c>
      <c r="Q354">
        <f t="shared" si="46"/>
        <v>0</v>
      </c>
      <c r="R354">
        <f t="shared" si="47"/>
        <v>0</v>
      </c>
    </row>
    <row r="355" spans="2:18" x14ac:dyDescent="0.2">
      <c r="B355" s="1209"/>
      <c r="C355" s="1210"/>
      <c r="D355" s="939"/>
      <c r="E355" s="1211" t="str">
        <f t="shared" si="42"/>
        <v xml:space="preserve"> </v>
      </c>
      <c r="G355" s="1212" t="str">
        <f t="shared" si="43"/>
        <v xml:space="preserve"> </v>
      </c>
      <c r="H355" s="1201"/>
      <c r="I355">
        <f t="shared" si="40"/>
        <v>0</v>
      </c>
      <c r="K355">
        <f t="shared" si="41"/>
        <v>0</v>
      </c>
      <c r="L355" s="1213"/>
      <c r="N355" s="1214" t="str">
        <f t="shared" si="44"/>
        <v xml:space="preserve"> </v>
      </c>
      <c r="O355" s="1215" t="str">
        <f t="shared" si="45"/>
        <v xml:space="preserve"> </v>
      </c>
      <c r="Q355">
        <f t="shared" si="46"/>
        <v>0</v>
      </c>
      <c r="R355">
        <f t="shared" si="47"/>
        <v>0</v>
      </c>
    </row>
    <row r="356" spans="2:18" x14ac:dyDescent="0.2">
      <c r="B356" s="1209"/>
      <c r="C356" s="1210"/>
      <c r="D356" s="939"/>
      <c r="E356" s="1211" t="str">
        <f t="shared" si="42"/>
        <v xml:space="preserve"> </v>
      </c>
      <c r="G356" s="1212" t="str">
        <f t="shared" si="43"/>
        <v xml:space="preserve"> </v>
      </c>
      <c r="H356" s="1201"/>
      <c r="I356">
        <f t="shared" si="40"/>
        <v>0</v>
      </c>
      <c r="K356">
        <f t="shared" si="41"/>
        <v>0</v>
      </c>
      <c r="L356" s="1213"/>
      <c r="N356" s="1214" t="str">
        <f t="shared" si="44"/>
        <v xml:space="preserve"> </v>
      </c>
      <c r="O356" s="1215" t="str">
        <f t="shared" si="45"/>
        <v xml:space="preserve"> </v>
      </c>
      <c r="Q356">
        <f t="shared" si="46"/>
        <v>0</v>
      </c>
      <c r="R356">
        <f t="shared" si="47"/>
        <v>0</v>
      </c>
    </row>
    <row r="357" spans="2:18" x14ac:dyDescent="0.2">
      <c r="B357" s="1209"/>
      <c r="C357" s="1210"/>
      <c r="D357" s="939"/>
      <c r="E357" s="1211" t="str">
        <f t="shared" si="42"/>
        <v xml:space="preserve"> </v>
      </c>
      <c r="G357" s="1212" t="str">
        <f t="shared" si="43"/>
        <v xml:space="preserve"> </v>
      </c>
      <c r="H357" s="1201"/>
      <c r="I357">
        <f t="shared" si="40"/>
        <v>0</v>
      </c>
      <c r="K357">
        <f t="shared" si="41"/>
        <v>0</v>
      </c>
      <c r="L357" s="1213"/>
      <c r="N357" s="1214" t="str">
        <f t="shared" si="44"/>
        <v xml:space="preserve"> </v>
      </c>
      <c r="O357" s="1215" t="str">
        <f t="shared" si="45"/>
        <v xml:space="preserve"> </v>
      </c>
      <c r="Q357">
        <f t="shared" si="46"/>
        <v>0</v>
      </c>
      <c r="R357">
        <f t="shared" si="47"/>
        <v>0</v>
      </c>
    </row>
    <row r="358" spans="2:18" x14ac:dyDescent="0.2">
      <c r="B358" s="1209"/>
      <c r="C358" s="1210"/>
      <c r="D358" s="939"/>
      <c r="E358" s="1211" t="str">
        <f t="shared" si="42"/>
        <v xml:space="preserve"> </v>
      </c>
      <c r="G358" s="1212" t="str">
        <f t="shared" si="43"/>
        <v xml:space="preserve"> </v>
      </c>
      <c r="H358" s="1201"/>
      <c r="I358">
        <f t="shared" si="40"/>
        <v>0</v>
      </c>
      <c r="K358">
        <f t="shared" si="41"/>
        <v>0</v>
      </c>
      <c r="L358" s="1213"/>
      <c r="N358" s="1214" t="str">
        <f t="shared" si="44"/>
        <v xml:space="preserve"> </v>
      </c>
      <c r="O358" s="1215" t="str">
        <f t="shared" si="45"/>
        <v xml:space="preserve"> </v>
      </c>
      <c r="Q358">
        <f t="shared" si="46"/>
        <v>0</v>
      </c>
      <c r="R358">
        <f t="shared" si="47"/>
        <v>0</v>
      </c>
    </row>
    <row r="359" spans="2:18" x14ac:dyDescent="0.2">
      <c r="B359" s="1209"/>
      <c r="C359" s="1210"/>
      <c r="D359" s="939"/>
      <c r="E359" s="1211" t="str">
        <f t="shared" si="42"/>
        <v xml:space="preserve"> </v>
      </c>
      <c r="G359" s="1212" t="str">
        <f t="shared" si="43"/>
        <v xml:space="preserve"> </v>
      </c>
      <c r="H359" s="1201"/>
      <c r="I359">
        <f t="shared" si="40"/>
        <v>0</v>
      </c>
      <c r="K359">
        <f t="shared" si="41"/>
        <v>0</v>
      </c>
      <c r="L359" s="1213"/>
      <c r="N359" s="1214" t="str">
        <f t="shared" si="44"/>
        <v xml:space="preserve"> </v>
      </c>
      <c r="O359" s="1215" t="str">
        <f t="shared" si="45"/>
        <v xml:space="preserve"> </v>
      </c>
      <c r="Q359">
        <f t="shared" si="46"/>
        <v>0</v>
      </c>
      <c r="R359">
        <f t="shared" si="47"/>
        <v>0</v>
      </c>
    </row>
    <row r="360" spans="2:18" x14ac:dyDescent="0.2">
      <c r="B360" s="1209"/>
      <c r="C360" s="1210"/>
      <c r="D360" s="939"/>
      <c r="E360" s="1211" t="str">
        <f t="shared" si="42"/>
        <v xml:space="preserve"> </v>
      </c>
      <c r="G360" s="1212" t="str">
        <f t="shared" si="43"/>
        <v xml:space="preserve"> </v>
      </c>
      <c r="H360" s="1201"/>
      <c r="I360">
        <f t="shared" si="40"/>
        <v>0</v>
      </c>
      <c r="K360">
        <f t="shared" si="41"/>
        <v>0</v>
      </c>
      <c r="L360" s="1213"/>
      <c r="N360" s="1214" t="str">
        <f t="shared" si="44"/>
        <v xml:space="preserve"> </v>
      </c>
      <c r="O360" s="1215" t="str">
        <f t="shared" si="45"/>
        <v xml:space="preserve"> </v>
      </c>
      <c r="Q360">
        <f t="shared" si="46"/>
        <v>0</v>
      </c>
      <c r="R360">
        <f t="shared" si="47"/>
        <v>0</v>
      </c>
    </row>
    <row r="361" spans="2:18" x14ac:dyDescent="0.2">
      <c r="B361" s="1209"/>
      <c r="C361" s="1210"/>
      <c r="D361" s="939"/>
      <c r="E361" s="1211" t="str">
        <f t="shared" si="42"/>
        <v xml:space="preserve"> </v>
      </c>
      <c r="G361" s="1212" t="str">
        <f t="shared" si="43"/>
        <v xml:space="preserve"> </v>
      </c>
      <c r="H361" s="1201"/>
      <c r="I361">
        <f t="shared" si="40"/>
        <v>0</v>
      </c>
      <c r="K361">
        <f t="shared" si="41"/>
        <v>0</v>
      </c>
      <c r="L361" s="1213"/>
      <c r="N361" s="1214" t="str">
        <f t="shared" si="44"/>
        <v xml:space="preserve"> </v>
      </c>
      <c r="O361" s="1215" t="str">
        <f t="shared" si="45"/>
        <v xml:space="preserve"> </v>
      </c>
      <c r="Q361">
        <f t="shared" si="46"/>
        <v>0</v>
      </c>
      <c r="R361">
        <f t="shared" si="47"/>
        <v>0</v>
      </c>
    </row>
    <row r="362" spans="2:18" x14ac:dyDescent="0.2">
      <c r="B362" s="1209"/>
      <c r="C362" s="1210"/>
      <c r="D362" s="939"/>
      <c r="E362" s="1211" t="str">
        <f t="shared" si="42"/>
        <v xml:space="preserve"> </v>
      </c>
      <c r="G362" s="1212" t="str">
        <f t="shared" si="43"/>
        <v xml:space="preserve"> </v>
      </c>
      <c r="H362" s="1201"/>
      <c r="I362">
        <f t="shared" si="40"/>
        <v>0</v>
      </c>
      <c r="K362">
        <f t="shared" si="41"/>
        <v>0</v>
      </c>
      <c r="L362" s="1213"/>
      <c r="N362" s="1214" t="str">
        <f t="shared" si="44"/>
        <v xml:space="preserve"> </v>
      </c>
      <c r="O362" s="1215" t="str">
        <f t="shared" si="45"/>
        <v xml:space="preserve"> </v>
      </c>
      <c r="Q362">
        <f t="shared" si="46"/>
        <v>0</v>
      </c>
      <c r="R362">
        <f t="shared" si="47"/>
        <v>0</v>
      </c>
    </row>
    <row r="363" spans="2:18" x14ac:dyDescent="0.2">
      <c r="B363" s="1209"/>
      <c r="C363" s="1210"/>
      <c r="D363" s="939"/>
      <c r="E363" s="1211" t="str">
        <f t="shared" si="42"/>
        <v xml:space="preserve"> </v>
      </c>
      <c r="G363" s="1212" t="str">
        <f t="shared" si="43"/>
        <v xml:space="preserve"> </v>
      </c>
      <c r="H363" s="1201"/>
      <c r="I363">
        <f t="shared" si="40"/>
        <v>0</v>
      </c>
      <c r="K363">
        <f t="shared" si="41"/>
        <v>0</v>
      </c>
      <c r="L363" s="1213"/>
      <c r="N363" s="1214" t="str">
        <f t="shared" si="44"/>
        <v xml:space="preserve"> </v>
      </c>
      <c r="O363" s="1215" t="str">
        <f t="shared" si="45"/>
        <v xml:space="preserve"> </v>
      </c>
      <c r="Q363">
        <f t="shared" si="46"/>
        <v>0</v>
      </c>
      <c r="R363">
        <f t="shared" si="47"/>
        <v>0</v>
      </c>
    </row>
    <row r="364" spans="2:18" x14ac:dyDescent="0.2">
      <c r="B364" s="1209"/>
      <c r="C364" s="1210"/>
      <c r="D364" s="939"/>
      <c r="E364" s="1211" t="str">
        <f t="shared" si="42"/>
        <v xml:space="preserve"> </v>
      </c>
      <c r="G364" s="1212" t="str">
        <f t="shared" si="43"/>
        <v xml:space="preserve"> </v>
      </c>
      <c r="H364" s="1201"/>
      <c r="I364">
        <f t="shared" si="40"/>
        <v>0</v>
      </c>
      <c r="K364">
        <f t="shared" si="41"/>
        <v>0</v>
      </c>
      <c r="L364" s="1213"/>
      <c r="N364" s="1214" t="str">
        <f t="shared" si="44"/>
        <v xml:space="preserve"> </v>
      </c>
      <c r="O364" s="1215" t="str">
        <f t="shared" si="45"/>
        <v xml:space="preserve"> </v>
      </c>
      <c r="Q364">
        <f t="shared" si="46"/>
        <v>0</v>
      </c>
      <c r="R364">
        <f t="shared" si="47"/>
        <v>0</v>
      </c>
    </row>
    <row r="365" spans="2:18" x14ac:dyDescent="0.2">
      <c r="B365" s="1209"/>
      <c r="C365" s="1210"/>
      <c r="D365" s="939"/>
      <c r="E365" s="1211" t="str">
        <f t="shared" si="42"/>
        <v xml:space="preserve"> </v>
      </c>
      <c r="G365" s="1212" t="str">
        <f t="shared" si="43"/>
        <v xml:space="preserve"> </v>
      </c>
      <c r="H365" s="1201"/>
      <c r="I365">
        <f t="shared" si="40"/>
        <v>0</v>
      </c>
      <c r="K365">
        <f t="shared" si="41"/>
        <v>0</v>
      </c>
      <c r="L365" s="1213"/>
      <c r="N365" s="1214" t="str">
        <f t="shared" si="44"/>
        <v xml:space="preserve"> </v>
      </c>
      <c r="O365" s="1215" t="str">
        <f t="shared" si="45"/>
        <v xml:space="preserve"> </v>
      </c>
      <c r="Q365">
        <f t="shared" si="46"/>
        <v>0</v>
      </c>
      <c r="R365">
        <f t="shared" si="47"/>
        <v>0</v>
      </c>
    </row>
    <row r="366" spans="2:18" x14ac:dyDescent="0.2">
      <c r="B366" s="1209"/>
      <c r="C366" s="1210"/>
      <c r="D366" s="939"/>
      <c r="E366" s="1211" t="str">
        <f t="shared" si="42"/>
        <v xml:space="preserve"> </v>
      </c>
      <c r="G366" s="1212" t="str">
        <f t="shared" si="43"/>
        <v xml:space="preserve"> </v>
      </c>
      <c r="H366" s="1201"/>
      <c r="I366">
        <f t="shared" si="40"/>
        <v>0</v>
      </c>
      <c r="K366">
        <f t="shared" si="41"/>
        <v>0</v>
      </c>
      <c r="L366" s="1213"/>
      <c r="N366" s="1214" t="str">
        <f t="shared" si="44"/>
        <v xml:space="preserve"> </v>
      </c>
      <c r="O366" s="1215" t="str">
        <f t="shared" si="45"/>
        <v xml:space="preserve"> </v>
      </c>
      <c r="Q366">
        <f t="shared" si="46"/>
        <v>0</v>
      </c>
      <c r="R366">
        <f t="shared" si="47"/>
        <v>0</v>
      </c>
    </row>
    <row r="367" spans="2:18" x14ac:dyDescent="0.2">
      <c r="B367" s="1209"/>
      <c r="C367" s="1210"/>
      <c r="D367" s="939"/>
      <c r="E367" s="1211" t="str">
        <f t="shared" si="42"/>
        <v xml:space="preserve"> </v>
      </c>
      <c r="G367" s="1212" t="str">
        <f t="shared" si="43"/>
        <v xml:space="preserve"> </v>
      </c>
      <c r="H367" s="1201"/>
      <c r="I367">
        <f t="shared" si="40"/>
        <v>0</v>
      </c>
      <c r="K367">
        <f t="shared" si="41"/>
        <v>0</v>
      </c>
      <c r="L367" s="1213"/>
      <c r="N367" s="1214" t="str">
        <f t="shared" si="44"/>
        <v xml:space="preserve"> </v>
      </c>
      <c r="O367" s="1215" t="str">
        <f t="shared" si="45"/>
        <v xml:space="preserve"> </v>
      </c>
      <c r="Q367">
        <f t="shared" si="46"/>
        <v>0</v>
      </c>
      <c r="R367">
        <f t="shared" si="47"/>
        <v>0</v>
      </c>
    </row>
    <row r="368" spans="2:18" x14ac:dyDescent="0.2">
      <c r="B368" s="1209"/>
      <c r="C368" s="1210"/>
      <c r="D368" s="939"/>
      <c r="E368" s="1211" t="str">
        <f t="shared" si="42"/>
        <v xml:space="preserve"> </v>
      </c>
      <c r="G368" s="1212" t="str">
        <f t="shared" si="43"/>
        <v xml:space="preserve"> </v>
      </c>
      <c r="H368" s="1201"/>
      <c r="I368">
        <f t="shared" si="40"/>
        <v>0</v>
      </c>
      <c r="K368">
        <f t="shared" si="41"/>
        <v>0</v>
      </c>
      <c r="L368" s="1213"/>
      <c r="N368" s="1214" t="str">
        <f t="shared" si="44"/>
        <v xml:space="preserve"> </v>
      </c>
      <c r="O368" s="1215" t="str">
        <f t="shared" si="45"/>
        <v xml:space="preserve"> </v>
      </c>
      <c r="Q368">
        <f t="shared" si="46"/>
        <v>0</v>
      </c>
      <c r="R368">
        <f t="shared" si="47"/>
        <v>0</v>
      </c>
    </row>
    <row r="369" spans="2:18" x14ac:dyDescent="0.2">
      <c r="B369" s="1209"/>
      <c r="C369" s="1210"/>
      <c r="D369" s="939"/>
      <c r="E369" s="1211" t="str">
        <f t="shared" si="42"/>
        <v xml:space="preserve"> </v>
      </c>
      <c r="G369" s="1212" t="str">
        <f t="shared" si="43"/>
        <v xml:space="preserve"> </v>
      </c>
      <c r="H369" s="1201"/>
      <c r="I369">
        <f t="shared" si="40"/>
        <v>0</v>
      </c>
      <c r="K369">
        <f t="shared" si="41"/>
        <v>0</v>
      </c>
      <c r="L369" s="1213"/>
      <c r="N369" s="1214" t="str">
        <f t="shared" si="44"/>
        <v xml:space="preserve"> </v>
      </c>
      <c r="O369" s="1215" t="str">
        <f t="shared" si="45"/>
        <v xml:space="preserve"> </v>
      </c>
      <c r="Q369">
        <f t="shared" si="46"/>
        <v>0</v>
      </c>
      <c r="R369">
        <f t="shared" si="47"/>
        <v>0</v>
      </c>
    </row>
    <row r="370" spans="2:18" x14ac:dyDescent="0.2">
      <c r="B370" s="1209"/>
      <c r="C370" s="1210"/>
      <c r="D370" s="939"/>
      <c r="E370" s="1211" t="str">
        <f t="shared" si="42"/>
        <v xml:space="preserve"> </v>
      </c>
      <c r="G370" s="1212" t="str">
        <f t="shared" si="43"/>
        <v xml:space="preserve"> </v>
      </c>
      <c r="H370" s="1201"/>
      <c r="I370">
        <f t="shared" si="40"/>
        <v>0</v>
      </c>
      <c r="K370">
        <f t="shared" si="41"/>
        <v>0</v>
      </c>
      <c r="L370" s="1213"/>
      <c r="N370" s="1214" t="str">
        <f t="shared" si="44"/>
        <v xml:space="preserve"> </v>
      </c>
      <c r="O370" s="1215" t="str">
        <f t="shared" si="45"/>
        <v xml:space="preserve"> </v>
      </c>
      <c r="Q370">
        <f t="shared" si="46"/>
        <v>0</v>
      </c>
      <c r="R370">
        <f t="shared" si="47"/>
        <v>0</v>
      </c>
    </row>
    <row r="371" spans="2:18" x14ac:dyDescent="0.2">
      <c r="B371" s="1209"/>
      <c r="C371" s="1210"/>
      <c r="D371" s="939"/>
      <c r="E371" s="1211" t="str">
        <f t="shared" si="42"/>
        <v xml:space="preserve"> </v>
      </c>
      <c r="G371" s="1212" t="str">
        <f t="shared" si="43"/>
        <v xml:space="preserve"> </v>
      </c>
      <c r="H371" s="1201"/>
      <c r="I371">
        <f t="shared" si="40"/>
        <v>0</v>
      </c>
      <c r="K371">
        <f t="shared" si="41"/>
        <v>0</v>
      </c>
      <c r="L371" s="1213"/>
      <c r="N371" s="1214" t="str">
        <f t="shared" si="44"/>
        <v xml:space="preserve"> </v>
      </c>
      <c r="O371" s="1215" t="str">
        <f t="shared" si="45"/>
        <v xml:space="preserve"> </v>
      </c>
      <c r="Q371">
        <f t="shared" si="46"/>
        <v>0</v>
      </c>
      <c r="R371">
        <f t="shared" si="47"/>
        <v>0</v>
      </c>
    </row>
    <row r="372" spans="2:18" x14ac:dyDescent="0.2">
      <c r="B372" s="1209"/>
      <c r="C372" s="1210"/>
      <c r="D372" s="939"/>
      <c r="E372" s="1211" t="str">
        <f t="shared" si="42"/>
        <v xml:space="preserve"> </v>
      </c>
      <c r="G372" s="1212" t="str">
        <f t="shared" si="43"/>
        <v xml:space="preserve"> </v>
      </c>
      <c r="H372" s="1201"/>
      <c r="I372">
        <f t="shared" si="40"/>
        <v>0</v>
      </c>
      <c r="K372">
        <f t="shared" si="41"/>
        <v>0</v>
      </c>
      <c r="L372" s="1213"/>
      <c r="N372" s="1214" t="str">
        <f t="shared" si="44"/>
        <v xml:space="preserve"> </v>
      </c>
      <c r="O372" s="1215" t="str">
        <f t="shared" si="45"/>
        <v xml:space="preserve"> </v>
      </c>
      <c r="Q372">
        <f t="shared" si="46"/>
        <v>0</v>
      </c>
      <c r="R372">
        <f t="shared" si="47"/>
        <v>0</v>
      </c>
    </row>
    <row r="373" spans="2:18" x14ac:dyDescent="0.2">
      <c r="B373" s="1209"/>
      <c r="C373" s="1210"/>
      <c r="D373" s="939"/>
      <c r="E373" s="1211" t="str">
        <f t="shared" si="42"/>
        <v xml:space="preserve"> </v>
      </c>
      <c r="G373" s="1212" t="str">
        <f t="shared" si="43"/>
        <v xml:space="preserve"> </v>
      </c>
      <c r="H373" s="1201"/>
      <c r="I373">
        <f t="shared" si="40"/>
        <v>0</v>
      </c>
      <c r="K373">
        <f t="shared" si="41"/>
        <v>0</v>
      </c>
      <c r="L373" s="1213"/>
      <c r="N373" s="1214" t="str">
        <f t="shared" si="44"/>
        <v xml:space="preserve"> </v>
      </c>
      <c r="O373" s="1215" t="str">
        <f t="shared" si="45"/>
        <v xml:space="preserve"> </v>
      </c>
      <c r="Q373">
        <f t="shared" si="46"/>
        <v>0</v>
      </c>
      <c r="R373">
        <f t="shared" si="47"/>
        <v>0</v>
      </c>
    </row>
    <row r="374" spans="2:18" x14ac:dyDescent="0.2">
      <c r="B374" s="1209"/>
      <c r="C374" s="1210"/>
      <c r="D374" s="939"/>
      <c r="E374" s="1211" t="str">
        <f t="shared" si="42"/>
        <v xml:space="preserve"> </v>
      </c>
      <c r="G374" s="1212" t="str">
        <f t="shared" si="43"/>
        <v xml:space="preserve"> </v>
      </c>
      <c r="H374" s="1201"/>
      <c r="I374">
        <f t="shared" si="40"/>
        <v>0</v>
      </c>
      <c r="K374">
        <f t="shared" si="41"/>
        <v>0</v>
      </c>
      <c r="L374" s="1213"/>
      <c r="N374" s="1214" t="str">
        <f t="shared" si="44"/>
        <v xml:space="preserve"> </v>
      </c>
      <c r="O374" s="1215" t="str">
        <f t="shared" si="45"/>
        <v xml:space="preserve"> </v>
      </c>
      <c r="Q374">
        <f t="shared" si="46"/>
        <v>0</v>
      </c>
      <c r="R374">
        <f t="shared" si="47"/>
        <v>0</v>
      </c>
    </row>
    <row r="375" spans="2:18" x14ac:dyDescent="0.2">
      <c r="B375" s="1209"/>
      <c r="C375" s="1210"/>
      <c r="D375" s="939"/>
      <c r="E375" s="1211" t="str">
        <f t="shared" si="42"/>
        <v xml:space="preserve"> </v>
      </c>
      <c r="G375" s="1212" t="str">
        <f t="shared" si="43"/>
        <v xml:space="preserve"> </v>
      </c>
      <c r="H375" s="1201"/>
      <c r="I375">
        <f t="shared" si="40"/>
        <v>0</v>
      </c>
      <c r="K375">
        <f t="shared" si="41"/>
        <v>0</v>
      </c>
      <c r="L375" s="1213"/>
      <c r="N375" s="1214" t="str">
        <f t="shared" si="44"/>
        <v xml:space="preserve"> </v>
      </c>
      <c r="O375" s="1215" t="str">
        <f t="shared" si="45"/>
        <v xml:space="preserve"> </v>
      </c>
      <c r="Q375">
        <f t="shared" si="46"/>
        <v>0</v>
      </c>
      <c r="R375">
        <f t="shared" si="47"/>
        <v>0</v>
      </c>
    </row>
    <row r="376" spans="2:18" x14ac:dyDescent="0.2">
      <c r="B376" s="1209"/>
      <c r="C376" s="1210"/>
      <c r="D376" s="939"/>
      <c r="E376" s="1211" t="str">
        <f t="shared" si="42"/>
        <v xml:space="preserve"> </v>
      </c>
      <c r="G376" s="1212" t="str">
        <f t="shared" si="43"/>
        <v xml:space="preserve"> </v>
      </c>
      <c r="H376" s="1201"/>
      <c r="I376">
        <f t="shared" si="40"/>
        <v>0</v>
      </c>
      <c r="K376">
        <f t="shared" si="41"/>
        <v>0</v>
      </c>
      <c r="L376" s="1213"/>
      <c r="N376" s="1214" t="str">
        <f t="shared" si="44"/>
        <v xml:space="preserve"> </v>
      </c>
      <c r="O376" s="1215" t="str">
        <f t="shared" si="45"/>
        <v xml:space="preserve"> </v>
      </c>
      <c r="Q376">
        <f t="shared" si="46"/>
        <v>0</v>
      </c>
      <c r="R376">
        <f t="shared" si="47"/>
        <v>0</v>
      </c>
    </row>
    <row r="377" spans="2:18" x14ac:dyDescent="0.2">
      <c r="B377" s="1209"/>
      <c r="C377" s="1210"/>
      <c r="D377" s="939"/>
      <c r="E377" s="1211" t="str">
        <f t="shared" si="42"/>
        <v xml:space="preserve"> </v>
      </c>
      <c r="G377" s="1212" t="str">
        <f t="shared" si="43"/>
        <v xml:space="preserve"> </v>
      </c>
      <c r="H377" s="1201"/>
      <c r="I377">
        <f t="shared" si="40"/>
        <v>0</v>
      </c>
      <c r="K377">
        <f t="shared" si="41"/>
        <v>0</v>
      </c>
      <c r="L377" s="1213"/>
      <c r="N377" s="1214" t="str">
        <f t="shared" si="44"/>
        <v xml:space="preserve"> </v>
      </c>
      <c r="O377" s="1215" t="str">
        <f t="shared" si="45"/>
        <v xml:space="preserve"> </v>
      </c>
      <c r="Q377">
        <f t="shared" si="46"/>
        <v>0</v>
      </c>
      <c r="R377">
        <f t="shared" si="47"/>
        <v>0</v>
      </c>
    </row>
    <row r="378" spans="2:18" x14ac:dyDescent="0.2">
      <c r="B378" s="1209"/>
      <c r="C378" s="1210"/>
      <c r="D378" s="939"/>
      <c r="E378" s="1211" t="str">
        <f t="shared" si="42"/>
        <v xml:space="preserve"> </v>
      </c>
      <c r="G378" s="1212" t="str">
        <f t="shared" si="43"/>
        <v xml:space="preserve"> </v>
      </c>
      <c r="H378" s="1201"/>
      <c r="I378">
        <f t="shared" si="40"/>
        <v>0</v>
      </c>
      <c r="K378">
        <f t="shared" si="41"/>
        <v>0</v>
      </c>
      <c r="L378" s="1213"/>
      <c r="N378" s="1214" t="str">
        <f t="shared" si="44"/>
        <v xml:space="preserve"> </v>
      </c>
      <c r="O378" s="1215" t="str">
        <f t="shared" si="45"/>
        <v xml:space="preserve"> </v>
      </c>
      <c r="Q378">
        <f t="shared" si="46"/>
        <v>0</v>
      </c>
      <c r="R378">
        <f t="shared" si="47"/>
        <v>0</v>
      </c>
    </row>
    <row r="379" spans="2:18" x14ac:dyDescent="0.2">
      <c r="B379" s="1209"/>
      <c r="C379" s="1210"/>
      <c r="D379" s="939"/>
      <c r="E379" s="1211" t="str">
        <f t="shared" si="42"/>
        <v xml:space="preserve"> </v>
      </c>
      <c r="G379" s="1212" t="str">
        <f t="shared" si="43"/>
        <v xml:space="preserve"> </v>
      </c>
      <c r="H379" s="1201"/>
      <c r="I379">
        <f t="shared" si="40"/>
        <v>0</v>
      </c>
      <c r="K379">
        <f t="shared" si="41"/>
        <v>0</v>
      </c>
      <c r="L379" s="1213"/>
      <c r="N379" s="1214" t="str">
        <f t="shared" si="44"/>
        <v xml:space="preserve"> </v>
      </c>
      <c r="O379" s="1215" t="str">
        <f t="shared" si="45"/>
        <v xml:space="preserve"> </v>
      </c>
      <c r="Q379">
        <f t="shared" si="46"/>
        <v>0</v>
      </c>
      <c r="R379">
        <f t="shared" si="47"/>
        <v>0</v>
      </c>
    </row>
    <row r="380" spans="2:18" x14ac:dyDescent="0.2">
      <c r="B380" s="1209"/>
      <c r="C380" s="1210"/>
      <c r="D380" s="939"/>
      <c r="E380" s="1211" t="str">
        <f t="shared" si="42"/>
        <v xml:space="preserve"> </v>
      </c>
      <c r="G380" s="1212" t="str">
        <f t="shared" si="43"/>
        <v xml:space="preserve"> </v>
      </c>
      <c r="H380" s="1201"/>
      <c r="I380">
        <f t="shared" si="40"/>
        <v>0</v>
      </c>
      <c r="K380">
        <f t="shared" si="41"/>
        <v>0</v>
      </c>
      <c r="L380" s="1213"/>
      <c r="N380" s="1214" t="str">
        <f t="shared" si="44"/>
        <v xml:space="preserve"> </v>
      </c>
      <c r="O380" s="1215" t="str">
        <f t="shared" si="45"/>
        <v xml:space="preserve"> </v>
      </c>
      <c r="Q380">
        <f t="shared" si="46"/>
        <v>0</v>
      </c>
      <c r="R380">
        <f t="shared" si="47"/>
        <v>0</v>
      </c>
    </row>
    <row r="381" spans="2:18" x14ac:dyDescent="0.2">
      <c r="B381" s="1209"/>
      <c r="C381" s="1210"/>
      <c r="D381" s="939"/>
      <c r="E381" s="1211" t="str">
        <f t="shared" si="42"/>
        <v xml:space="preserve"> </v>
      </c>
      <c r="G381" s="1212" t="str">
        <f t="shared" si="43"/>
        <v xml:space="preserve"> </v>
      </c>
      <c r="H381" s="1201"/>
      <c r="I381">
        <f t="shared" si="40"/>
        <v>0</v>
      </c>
      <c r="K381">
        <f t="shared" si="41"/>
        <v>0</v>
      </c>
      <c r="L381" s="1213"/>
      <c r="N381" s="1214" t="str">
        <f t="shared" si="44"/>
        <v xml:space="preserve"> </v>
      </c>
      <c r="O381" s="1215" t="str">
        <f t="shared" si="45"/>
        <v xml:space="preserve"> </v>
      </c>
      <c r="Q381">
        <f t="shared" si="46"/>
        <v>0</v>
      </c>
      <c r="R381">
        <f t="shared" si="47"/>
        <v>0</v>
      </c>
    </row>
    <row r="382" spans="2:18" x14ac:dyDescent="0.2">
      <c r="B382" s="1209"/>
      <c r="C382" s="1210"/>
      <c r="D382" s="939"/>
      <c r="E382" s="1211" t="str">
        <f t="shared" si="42"/>
        <v xml:space="preserve"> </v>
      </c>
      <c r="G382" s="1212" t="str">
        <f t="shared" si="43"/>
        <v xml:space="preserve"> </v>
      </c>
      <c r="H382" s="1201"/>
      <c r="I382">
        <f t="shared" si="40"/>
        <v>0</v>
      </c>
      <c r="K382">
        <f t="shared" si="41"/>
        <v>0</v>
      </c>
      <c r="L382" s="1213"/>
      <c r="N382" s="1214" t="str">
        <f t="shared" si="44"/>
        <v xml:space="preserve"> </v>
      </c>
      <c r="O382" s="1215" t="str">
        <f t="shared" si="45"/>
        <v xml:space="preserve"> </v>
      </c>
      <c r="Q382">
        <f t="shared" si="46"/>
        <v>0</v>
      </c>
      <c r="R382">
        <f t="shared" si="47"/>
        <v>0</v>
      </c>
    </row>
    <row r="383" spans="2:18" x14ac:dyDescent="0.2">
      <c r="B383" s="1209"/>
      <c r="C383" s="1210"/>
      <c r="D383" s="939"/>
      <c r="E383" s="1211" t="str">
        <f t="shared" si="42"/>
        <v xml:space="preserve"> </v>
      </c>
      <c r="G383" s="1212" t="str">
        <f t="shared" si="43"/>
        <v xml:space="preserve"> </v>
      </c>
      <c r="H383" s="1201"/>
      <c r="I383">
        <f t="shared" si="40"/>
        <v>0</v>
      </c>
      <c r="K383">
        <f t="shared" si="41"/>
        <v>0</v>
      </c>
      <c r="L383" s="1213"/>
      <c r="N383" s="1214" t="str">
        <f t="shared" si="44"/>
        <v xml:space="preserve"> </v>
      </c>
      <c r="O383" s="1215" t="str">
        <f t="shared" si="45"/>
        <v xml:space="preserve"> </v>
      </c>
      <c r="Q383">
        <f t="shared" si="46"/>
        <v>0</v>
      </c>
      <c r="R383">
        <f t="shared" si="47"/>
        <v>0</v>
      </c>
    </row>
    <row r="384" spans="2:18" x14ac:dyDescent="0.2">
      <c r="B384" s="1209"/>
      <c r="C384" s="1210"/>
      <c r="D384" s="939"/>
      <c r="E384" s="1211" t="str">
        <f t="shared" si="42"/>
        <v xml:space="preserve"> </v>
      </c>
      <c r="G384" s="1212" t="str">
        <f t="shared" si="43"/>
        <v xml:space="preserve"> </v>
      </c>
      <c r="H384" s="1201"/>
      <c r="I384">
        <f t="shared" si="40"/>
        <v>0</v>
      </c>
      <c r="K384">
        <f t="shared" si="41"/>
        <v>0</v>
      </c>
      <c r="L384" s="1213"/>
      <c r="N384" s="1214" t="str">
        <f t="shared" si="44"/>
        <v xml:space="preserve"> </v>
      </c>
      <c r="O384" s="1215" t="str">
        <f t="shared" si="45"/>
        <v xml:space="preserve"> </v>
      </c>
      <c r="Q384">
        <f t="shared" si="46"/>
        <v>0</v>
      </c>
      <c r="R384">
        <f t="shared" si="47"/>
        <v>0</v>
      </c>
    </row>
    <row r="385" spans="2:18" x14ac:dyDescent="0.2">
      <c r="B385" s="1209"/>
      <c r="C385" s="1210"/>
      <c r="D385" s="939"/>
      <c r="E385" s="1211" t="str">
        <f t="shared" si="42"/>
        <v xml:space="preserve"> </v>
      </c>
      <c r="G385" s="1212" t="str">
        <f t="shared" si="43"/>
        <v xml:space="preserve"> </v>
      </c>
      <c r="H385" s="1201"/>
      <c r="I385">
        <f t="shared" si="40"/>
        <v>0</v>
      </c>
      <c r="K385">
        <f t="shared" si="41"/>
        <v>0</v>
      </c>
      <c r="L385" s="1213"/>
      <c r="N385" s="1214" t="str">
        <f t="shared" si="44"/>
        <v xml:space="preserve"> </v>
      </c>
      <c r="O385" s="1215" t="str">
        <f t="shared" si="45"/>
        <v xml:space="preserve"> </v>
      </c>
      <c r="Q385">
        <f t="shared" si="46"/>
        <v>0</v>
      </c>
      <c r="R385">
        <f t="shared" si="47"/>
        <v>0</v>
      </c>
    </row>
    <row r="386" spans="2:18" x14ac:dyDescent="0.2">
      <c r="B386" s="1209"/>
      <c r="C386" s="1210"/>
      <c r="D386" s="939"/>
      <c r="E386" s="1211" t="str">
        <f t="shared" si="42"/>
        <v xml:space="preserve"> </v>
      </c>
      <c r="G386" s="1212" t="str">
        <f t="shared" si="43"/>
        <v xml:space="preserve"> </v>
      </c>
      <c r="H386" s="1201"/>
      <c r="I386">
        <f t="shared" si="40"/>
        <v>0</v>
      </c>
      <c r="K386">
        <f t="shared" si="41"/>
        <v>0</v>
      </c>
      <c r="L386" s="1213"/>
      <c r="N386" s="1214" t="str">
        <f t="shared" si="44"/>
        <v xml:space="preserve"> </v>
      </c>
      <c r="O386" s="1215" t="str">
        <f t="shared" si="45"/>
        <v xml:space="preserve"> </v>
      </c>
      <c r="Q386">
        <f t="shared" si="46"/>
        <v>0</v>
      </c>
      <c r="R386">
        <f t="shared" si="47"/>
        <v>0</v>
      </c>
    </row>
    <row r="387" spans="2:18" x14ac:dyDescent="0.2">
      <c r="B387" s="1209"/>
      <c r="C387" s="1210"/>
      <c r="D387" s="939"/>
      <c r="E387" s="1211" t="str">
        <f t="shared" si="42"/>
        <v xml:space="preserve"> </v>
      </c>
      <c r="G387" s="1212" t="str">
        <f t="shared" si="43"/>
        <v xml:space="preserve"> </v>
      </c>
      <c r="H387" s="1201"/>
      <c r="I387">
        <f t="shared" si="40"/>
        <v>0</v>
      </c>
      <c r="K387">
        <f t="shared" si="41"/>
        <v>0</v>
      </c>
      <c r="L387" s="1213"/>
      <c r="N387" s="1214" t="str">
        <f t="shared" si="44"/>
        <v xml:space="preserve"> </v>
      </c>
      <c r="O387" s="1215" t="str">
        <f t="shared" si="45"/>
        <v xml:space="preserve"> </v>
      </c>
      <c r="Q387">
        <f t="shared" si="46"/>
        <v>0</v>
      </c>
      <c r="R387">
        <f t="shared" si="47"/>
        <v>0</v>
      </c>
    </row>
    <row r="388" spans="2:18" x14ac:dyDescent="0.2">
      <c r="B388" s="1209"/>
      <c r="C388" s="1210"/>
      <c r="D388" s="939"/>
      <c r="E388" s="1211" t="str">
        <f t="shared" si="42"/>
        <v xml:space="preserve"> </v>
      </c>
      <c r="G388" s="1212" t="str">
        <f t="shared" si="43"/>
        <v xml:space="preserve"> </v>
      </c>
      <c r="H388" s="1201"/>
      <c r="I388">
        <f t="shared" si="40"/>
        <v>0</v>
      </c>
      <c r="K388">
        <f t="shared" si="41"/>
        <v>0</v>
      </c>
      <c r="L388" s="1213"/>
      <c r="N388" s="1214" t="str">
        <f t="shared" si="44"/>
        <v xml:space="preserve"> </v>
      </c>
      <c r="O388" s="1215" t="str">
        <f t="shared" si="45"/>
        <v xml:space="preserve"> </v>
      </c>
      <c r="Q388">
        <f t="shared" si="46"/>
        <v>0</v>
      </c>
      <c r="R388">
        <f t="shared" si="47"/>
        <v>0</v>
      </c>
    </row>
    <row r="389" spans="2:18" x14ac:dyDescent="0.2">
      <c r="B389" s="1209"/>
      <c r="C389" s="1210"/>
      <c r="D389" s="939"/>
      <c r="E389" s="1211" t="str">
        <f t="shared" si="42"/>
        <v xml:space="preserve"> </v>
      </c>
      <c r="G389" s="1212" t="str">
        <f t="shared" si="43"/>
        <v xml:space="preserve"> </v>
      </c>
      <c r="H389" s="1201"/>
      <c r="I389">
        <f t="shared" si="40"/>
        <v>0</v>
      </c>
      <c r="K389">
        <f t="shared" si="41"/>
        <v>0</v>
      </c>
      <c r="L389" s="1213"/>
      <c r="N389" s="1214" t="str">
        <f t="shared" si="44"/>
        <v xml:space="preserve"> </v>
      </c>
      <c r="O389" s="1215" t="str">
        <f t="shared" si="45"/>
        <v xml:space="preserve"> </v>
      </c>
      <c r="Q389">
        <f t="shared" si="46"/>
        <v>0</v>
      </c>
      <c r="R389">
        <f t="shared" si="47"/>
        <v>0</v>
      </c>
    </row>
    <row r="390" spans="2:18" x14ac:dyDescent="0.2">
      <c r="B390" s="1209"/>
      <c r="C390" s="1210"/>
      <c r="D390" s="939"/>
      <c r="E390" s="1211" t="str">
        <f t="shared" si="42"/>
        <v xml:space="preserve"> </v>
      </c>
      <c r="G390" s="1212" t="str">
        <f t="shared" si="43"/>
        <v xml:space="preserve"> </v>
      </c>
      <c r="H390" s="1201"/>
      <c r="I390">
        <f t="shared" si="40"/>
        <v>0</v>
      </c>
      <c r="K390">
        <f t="shared" si="41"/>
        <v>0</v>
      </c>
      <c r="L390" s="1213"/>
      <c r="N390" s="1214" t="str">
        <f t="shared" si="44"/>
        <v xml:space="preserve"> </v>
      </c>
      <c r="O390" s="1215" t="str">
        <f t="shared" si="45"/>
        <v xml:space="preserve"> </v>
      </c>
      <c r="Q390">
        <f t="shared" si="46"/>
        <v>0</v>
      </c>
      <c r="R390">
        <f t="shared" si="47"/>
        <v>0</v>
      </c>
    </row>
    <row r="391" spans="2:18" x14ac:dyDescent="0.2">
      <c r="B391" s="1209"/>
      <c r="C391" s="1210"/>
      <c r="D391" s="939"/>
      <c r="E391" s="1211" t="str">
        <f t="shared" si="42"/>
        <v xml:space="preserve"> </v>
      </c>
      <c r="G391" s="1212" t="str">
        <f t="shared" si="43"/>
        <v xml:space="preserve"> </v>
      </c>
      <c r="H391" s="1201"/>
      <c r="I391">
        <f t="shared" si="40"/>
        <v>0</v>
      </c>
      <c r="K391">
        <f t="shared" si="41"/>
        <v>0</v>
      </c>
      <c r="L391" s="1213"/>
      <c r="N391" s="1214" t="str">
        <f t="shared" si="44"/>
        <v xml:space="preserve"> </v>
      </c>
      <c r="O391" s="1215" t="str">
        <f t="shared" si="45"/>
        <v xml:space="preserve"> </v>
      </c>
      <c r="Q391">
        <f t="shared" si="46"/>
        <v>0</v>
      </c>
      <c r="R391">
        <f t="shared" si="47"/>
        <v>0</v>
      </c>
    </row>
    <row r="392" spans="2:18" x14ac:dyDescent="0.2">
      <c r="B392" s="1209"/>
      <c r="C392" s="1210"/>
      <c r="D392" s="939"/>
      <c r="E392" s="1211" t="str">
        <f t="shared" si="42"/>
        <v xml:space="preserve"> </v>
      </c>
      <c r="G392" s="1212" t="str">
        <f t="shared" si="43"/>
        <v xml:space="preserve"> </v>
      </c>
      <c r="H392" s="1201"/>
      <c r="I392">
        <f t="shared" ref="I392:I455" si="48">(J392+C392)/12</f>
        <v>0</v>
      </c>
      <c r="K392">
        <f t="shared" ref="K392:K455" si="49">I392+B392</f>
        <v>0</v>
      </c>
      <c r="L392" s="1213"/>
      <c r="N392" s="1214" t="str">
        <f t="shared" si="44"/>
        <v xml:space="preserve"> </v>
      </c>
      <c r="O392" s="1215" t="str">
        <f t="shared" si="45"/>
        <v xml:space="preserve"> </v>
      </c>
      <c r="Q392">
        <f t="shared" si="46"/>
        <v>0</v>
      </c>
      <c r="R392">
        <f t="shared" si="47"/>
        <v>0</v>
      </c>
    </row>
    <row r="393" spans="2:18" x14ac:dyDescent="0.2">
      <c r="B393" s="1209"/>
      <c r="C393" s="1210"/>
      <c r="D393" s="939"/>
      <c r="E393" s="1211" t="str">
        <f t="shared" si="42"/>
        <v xml:space="preserve"> </v>
      </c>
      <c r="G393" s="1212" t="str">
        <f t="shared" si="43"/>
        <v xml:space="preserve"> </v>
      </c>
      <c r="H393" s="1201"/>
      <c r="I393">
        <f t="shared" si="48"/>
        <v>0</v>
      </c>
      <c r="K393">
        <f t="shared" si="49"/>
        <v>0</v>
      </c>
      <c r="L393" s="1213"/>
      <c r="N393" s="1214" t="str">
        <f t="shared" si="44"/>
        <v xml:space="preserve"> </v>
      </c>
      <c r="O393" s="1215" t="str">
        <f t="shared" si="45"/>
        <v xml:space="preserve"> </v>
      </c>
      <c r="Q393">
        <f t="shared" si="46"/>
        <v>0</v>
      </c>
      <c r="R393">
        <f t="shared" si="47"/>
        <v>0</v>
      </c>
    </row>
    <row r="394" spans="2:18" x14ac:dyDescent="0.2">
      <c r="B394" s="1209"/>
      <c r="C394" s="1210"/>
      <c r="D394" s="939"/>
      <c r="E394" s="1211" t="str">
        <f t="shared" ref="E394:E457" si="50">IF(K394=0," ",IF(K394&gt;0,K394*12*25.4))</f>
        <v xml:space="preserve"> </v>
      </c>
      <c r="G394" s="1212" t="str">
        <f t="shared" ref="G394:G457" si="51">IF(K394=0," ",IF(K394&gt;0,E394/1000))</f>
        <v xml:space="preserve"> </v>
      </c>
      <c r="H394" s="1201"/>
      <c r="I394">
        <f t="shared" si="48"/>
        <v>0</v>
      </c>
      <c r="K394">
        <f t="shared" si="49"/>
        <v>0</v>
      </c>
      <c r="L394" s="1213"/>
      <c r="N394" s="1214" t="str">
        <f t="shared" ref="N394:N457" si="52">IF(R394=0," ",IF(R394&gt;0,TRUNC(R394)))</f>
        <v xml:space="preserve"> </v>
      </c>
      <c r="O394" s="1215" t="str">
        <f t="shared" ref="O394:O457" si="53">IF(R394=0," ",IF(R394&gt;0,(R394-N394)*12))</f>
        <v xml:space="preserve"> </v>
      </c>
      <c r="Q394">
        <f t="shared" ref="Q394:Q457" si="54">L394/25.4</f>
        <v>0</v>
      </c>
      <c r="R394">
        <f t="shared" ref="R394:R457" si="55">Q394/12</f>
        <v>0</v>
      </c>
    </row>
    <row r="395" spans="2:18" x14ac:dyDescent="0.2">
      <c r="B395" s="1209"/>
      <c r="C395" s="1210"/>
      <c r="D395" s="939"/>
      <c r="E395" s="1211" t="str">
        <f t="shared" si="50"/>
        <v xml:space="preserve"> </v>
      </c>
      <c r="G395" s="1212" t="str">
        <f t="shared" si="51"/>
        <v xml:space="preserve"> </v>
      </c>
      <c r="H395" s="1201"/>
      <c r="I395">
        <f t="shared" si="48"/>
        <v>0</v>
      </c>
      <c r="K395">
        <f t="shared" si="49"/>
        <v>0</v>
      </c>
      <c r="L395" s="1213"/>
      <c r="N395" s="1214" t="str">
        <f t="shared" si="52"/>
        <v xml:space="preserve"> </v>
      </c>
      <c r="O395" s="1215" t="str">
        <f t="shared" si="53"/>
        <v xml:space="preserve"> </v>
      </c>
      <c r="Q395">
        <f t="shared" si="54"/>
        <v>0</v>
      </c>
      <c r="R395">
        <f t="shared" si="55"/>
        <v>0</v>
      </c>
    </row>
    <row r="396" spans="2:18" x14ac:dyDescent="0.2">
      <c r="B396" s="1209"/>
      <c r="C396" s="1210"/>
      <c r="D396" s="939"/>
      <c r="E396" s="1211" t="str">
        <f t="shared" si="50"/>
        <v xml:space="preserve"> </v>
      </c>
      <c r="G396" s="1212" t="str">
        <f t="shared" si="51"/>
        <v xml:space="preserve"> </v>
      </c>
      <c r="H396" s="1201"/>
      <c r="I396">
        <f t="shared" si="48"/>
        <v>0</v>
      </c>
      <c r="K396">
        <f t="shared" si="49"/>
        <v>0</v>
      </c>
      <c r="L396" s="1213"/>
      <c r="N396" s="1214" t="str">
        <f t="shared" si="52"/>
        <v xml:space="preserve"> </v>
      </c>
      <c r="O396" s="1215" t="str">
        <f t="shared" si="53"/>
        <v xml:space="preserve"> </v>
      </c>
      <c r="Q396">
        <f t="shared" si="54"/>
        <v>0</v>
      </c>
      <c r="R396">
        <f t="shared" si="55"/>
        <v>0</v>
      </c>
    </row>
    <row r="397" spans="2:18" x14ac:dyDescent="0.2">
      <c r="B397" s="1209"/>
      <c r="C397" s="1210"/>
      <c r="D397" s="939"/>
      <c r="E397" s="1211" t="str">
        <f t="shared" si="50"/>
        <v xml:space="preserve"> </v>
      </c>
      <c r="G397" s="1212" t="str">
        <f t="shared" si="51"/>
        <v xml:space="preserve"> </v>
      </c>
      <c r="H397" s="1201"/>
      <c r="I397">
        <f t="shared" si="48"/>
        <v>0</v>
      </c>
      <c r="K397">
        <f t="shared" si="49"/>
        <v>0</v>
      </c>
      <c r="L397" s="1213"/>
      <c r="N397" s="1214" t="str">
        <f t="shared" si="52"/>
        <v xml:space="preserve"> </v>
      </c>
      <c r="O397" s="1215" t="str">
        <f t="shared" si="53"/>
        <v xml:space="preserve"> </v>
      </c>
      <c r="Q397">
        <f t="shared" si="54"/>
        <v>0</v>
      </c>
      <c r="R397">
        <f t="shared" si="55"/>
        <v>0</v>
      </c>
    </row>
    <row r="398" spans="2:18" x14ac:dyDescent="0.2">
      <c r="B398" s="1209"/>
      <c r="C398" s="1210"/>
      <c r="D398" s="939"/>
      <c r="E398" s="1211" t="str">
        <f t="shared" si="50"/>
        <v xml:space="preserve"> </v>
      </c>
      <c r="G398" s="1212" t="str">
        <f t="shared" si="51"/>
        <v xml:space="preserve"> </v>
      </c>
      <c r="H398" s="1201"/>
      <c r="I398">
        <f t="shared" si="48"/>
        <v>0</v>
      </c>
      <c r="K398">
        <f t="shared" si="49"/>
        <v>0</v>
      </c>
      <c r="L398" s="1213"/>
      <c r="N398" s="1214" t="str">
        <f t="shared" si="52"/>
        <v xml:space="preserve"> </v>
      </c>
      <c r="O398" s="1215" t="str">
        <f t="shared" si="53"/>
        <v xml:space="preserve"> </v>
      </c>
      <c r="Q398">
        <f t="shared" si="54"/>
        <v>0</v>
      </c>
      <c r="R398">
        <f t="shared" si="55"/>
        <v>0</v>
      </c>
    </row>
    <row r="399" spans="2:18" x14ac:dyDescent="0.2">
      <c r="B399" s="1209"/>
      <c r="C399" s="1210"/>
      <c r="D399" s="939"/>
      <c r="E399" s="1211" t="str">
        <f t="shared" si="50"/>
        <v xml:space="preserve"> </v>
      </c>
      <c r="G399" s="1212" t="str">
        <f t="shared" si="51"/>
        <v xml:space="preserve"> </v>
      </c>
      <c r="H399" s="1201"/>
      <c r="I399">
        <f t="shared" si="48"/>
        <v>0</v>
      </c>
      <c r="K399">
        <f t="shared" si="49"/>
        <v>0</v>
      </c>
      <c r="L399" s="1213"/>
      <c r="N399" s="1214" t="str">
        <f t="shared" si="52"/>
        <v xml:space="preserve"> </v>
      </c>
      <c r="O399" s="1215" t="str">
        <f t="shared" si="53"/>
        <v xml:space="preserve"> </v>
      </c>
      <c r="Q399">
        <f t="shared" si="54"/>
        <v>0</v>
      </c>
      <c r="R399">
        <f t="shared" si="55"/>
        <v>0</v>
      </c>
    </row>
    <row r="400" spans="2:18" x14ac:dyDescent="0.2">
      <c r="B400" s="1209"/>
      <c r="C400" s="1210"/>
      <c r="D400" s="939"/>
      <c r="E400" s="1211" t="str">
        <f t="shared" si="50"/>
        <v xml:space="preserve"> </v>
      </c>
      <c r="G400" s="1212" t="str">
        <f t="shared" si="51"/>
        <v xml:space="preserve"> </v>
      </c>
      <c r="H400" s="1201"/>
      <c r="I400">
        <f t="shared" si="48"/>
        <v>0</v>
      </c>
      <c r="K400">
        <f t="shared" si="49"/>
        <v>0</v>
      </c>
      <c r="L400" s="1213"/>
      <c r="N400" s="1214" t="str">
        <f t="shared" si="52"/>
        <v xml:space="preserve"> </v>
      </c>
      <c r="O400" s="1215" t="str">
        <f t="shared" si="53"/>
        <v xml:space="preserve"> </v>
      </c>
      <c r="Q400">
        <f t="shared" si="54"/>
        <v>0</v>
      </c>
      <c r="R400">
        <f t="shared" si="55"/>
        <v>0</v>
      </c>
    </row>
    <row r="401" spans="2:18" x14ac:dyDescent="0.2">
      <c r="B401" s="1209"/>
      <c r="C401" s="1210"/>
      <c r="D401" s="939"/>
      <c r="E401" s="1211" t="str">
        <f t="shared" si="50"/>
        <v xml:space="preserve"> </v>
      </c>
      <c r="G401" s="1212" t="str">
        <f t="shared" si="51"/>
        <v xml:space="preserve"> </v>
      </c>
      <c r="H401" s="1201"/>
      <c r="I401">
        <f t="shared" si="48"/>
        <v>0</v>
      </c>
      <c r="K401">
        <f t="shared" si="49"/>
        <v>0</v>
      </c>
      <c r="L401" s="1213"/>
      <c r="N401" s="1214" t="str">
        <f t="shared" si="52"/>
        <v xml:space="preserve"> </v>
      </c>
      <c r="O401" s="1215" t="str">
        <f t="shared" si="53"/>
        <v xml:space="preserve"> </v>
      </c>
      <c r="Q401">
        <f t="shared" si="54"/>
        <v>0</v>
      </c>
      <c r="R401">
        <f t="shared" si="55"/>
        <v>0</v>
      </c>
    </row>
    <row r="402" spans="2:18" x14ac:dyDescent="0.2">
      <c r="B402" s="1209"/>
      <c r="C402" s="1210"/>
      <c r="D402" s="939"/>
      <c r="E402" s="1211" t="str">
        <f t="shared" si="50"/>
        <v xml:space="preserve"> </v>
      </c>
      <c r="G402" s="1212" t="str">
        <f t="shared" si="51"/>
        <v xml:space="preserve"> </v>
      </c>
      <c r="H402" s="1201"/>
      <c r="I402">
        <f t="shared" si="48"/>
        <v>0</v>
      </c>
      <c r="K402">
        <f t="shared" si="49"/>
        <v>0</v>
      </c>
      <c r="L402" s="1213"/>
      <c r="N402" s="1214" t="str">
        <f t="shared" si="52"/>
        <v xml:space="preserve"> </v>
      </c>
      <c r="O402" s="1215" t="str">
        <f t="shared" si="53"/>
        <v xml:space="preserve"> </v>
      </c>
      <c r="Q402">
        <f t="shared" si="54"/>
        <v>0</v>
      </c>
      <c r="R402">
        <f t="shared" si="55"/>
        <v>0</v>
      </c>
    </row>
    <row r="403" spans="2:18" x14ac:dyDescent="0.2">
      <c r="B403" s="1209"/>
      <c r="C403" s="1210"/>
      <c r="D403" s="939"/>
      <c r="E403" s="1211" t="str">
        <f t="shared" si="50"/>
        <v xml:space="preserve"> </v>
      </c>
      <c r="G403" s="1212" t="str">
        <f t="shared" si="51"/>
        <v xml:space="preserve"> </v>
      </c>
      <c r="H403" s="1201"/>
      <c r="I403">
        <f t="shared" si="48"/>
        <v>0</v>
      </c>
      <c r="K403">
        <f t="shared" si="49"/>
        <v>0</v>
      </c>
      <c r="L403" s="1213"/>
      <c r="N403" s="1214" t="str">
        <f t="shared" si="52"/>
        <v xml:space="preserve"> </v>
      </c>
      <c r="O403" s="1215" t="str">
        <f t="shared" si="53"/>
        <v xml:space="preserve"> </v>
      </c>
      <c r="Q403">
        <f t="shared" si="54"/>
        <v>0</v>
      </c>
      <c r="R403">
        <f t="shared" si="55"/>
        <v>0</v>
      </c>
    </row>
    <row r="404" spans="2:18" x14ac:dyDescent="0.2">
      <c r="B404" s="1209"/>
      <c r="C404" s="1210"/>
      <c r="D404" s="939"/>
      <c r="E404" s="1211" t="str">
        <f t="shared" si="50"/>
        <v xml:space="preserve"> </v>
      </c>
      <c r="G404" s="1212" t="str">
        <f t="shared" si="51"/>
        <v xml:space="preserve"> </v>
      </c>
      <c r="H404" s="1201"/>
      <c r="I404">
        <f t="shared" si="48"/>
        <v>0</v>
      </c>
      <c r="K404">
        <f t="shared" si="49"/>
        <v>0</v>
      </c>
      <c r="L404" s="1213"/>
      <c r="N404" s="1214" t="str">
        <f t="shared" si="52"/>
        <v xml:space="preserve"> </v>
      </c>
      <c r="O404" s="1215" t="str">
        <f t="shared" si="53"/>
        <v xml:space="preserve"> </v>
      </c>
      <c r="Q404">
        <f t="shared" si="54"/>
        <v>0</v>
      </c>
      <c r="R404">
        <f t="shared" si="55"/>
        <v>0</v>
      </c>
    </row>
    <row r="405" spans="2:18" x14ac:dyDescent="0.2">
      <c r="B405" s="1209"/>
      <c r="C405" s="1210"/>
      <c r="D405" s="939"/>
      <c r="E405" s="1211" t="str">
        <f t="shared" si="50"/>
        <v xml:space="preserve"> </v>
      </c>
      <c r="G405" s="1212" t="str">
        <f t="shared" si="51"/>
        <v xml:space="preserve"> </v>
      </c>
      <c r="H405" s="1201"/>
      <c r="I405">
        <f t="shared" si="48"/>
        <v>0</v>
      </c>
      <c r="K405">
        <f t="shared" si="49"/>
        <v>0</v>
      </c>
      <c r="L405" s="1213"/>
      <c r="N405" s="1214" t="str">
        <f t="shared" si="52"/>
        <v xml:space="preserve"> </v>
      </c>
      <c r="O405" s="1215" t="str">
        <f t="shared" si="53"/>
        <v xml:space="preserve"> </v>
      </c>
      <c r="Q405">
        <f t="shared" si="54"/>
        <v>0</v>
      </c>
      <c r="R405">
        <f t="shared" si="55"/>
        <v>0</v>
      </c>
    </row>
    <row r="406" spans="2:18" x14ac:dyDescent="0.2">
      <c r="B406" s="1209"/>
      <c r="C406" s="1210"/>
      <c r="D406" s="939"/>
      <c r="E406" s="1211" t="str">
        <f t="shared" si="50"/>
        <v xml:space="preserve"> </v>
      </c>
      <c r="G406" s="1212" t="str">
        <f t="shared" si="51"/>
        <v xml:space="preserve"> </v>
      </c>
      <c r="H406" s="1201"/>
      <c r="I406">
        <f t="shared" si="48"/>
        <v>0</v>
      </c>
      <c r="K406">
        <f t="shared" si="49"/>
        <v>0</v>
      </c>
      <c r="L406" s="1213"/>
      <c r="N406" s="1214" t="str">
        <f t="shared" si="52"/>
        <v xml:space="preserve"> </v>
      </c>
      <c r="O406" s="1215" t="str">
        <f t="shared" si="53"/>
        <v xml:space="preserve"> </v>
      </c>
      <c r="Q406">
        <f t="shared" si="54"/>
        <v>0</v>
      </c>
      <c r="R406">
        <f t="shared" si="55"/>
        <v>0</v>
      </c>
    </row>
    <row r="407" spans="2:18" x14ac:dyDescent="0.2">
      <c r="B407" s="1209"/>
      <c r="C407" s="1210"/>
      <c r="D407" s="939"/>
      <c r="E407" s="1211" t="str">
        <f t="shared" si="50"/>
        <v xml:space="preserve"> </v>
      </c>
      <c r="G407" s="1212" t="str">
        <f t="shared" si="51"/>
        <v xml:space="preserve"> </v>
      </c>
      <c r="H407" s="1201"/>
      <c r="I407">
        <f t="shared" si="48"/>
        <v>0</v>
      </c>
      <c r="K407">
        <f t="shared" si="49"/>
        <v>0</v>
      </c>
      <c r="L407" s="1213"/>
      <c r="N407" s="1214" t="str">
        <f t="shared" si="52"/>
        <v xml:space="preserve"> </v>
      </c>
      <c r="O407" s="1215" t="str">
        <f t="shared" si="53"/>
        <v xml:space="preserve"> </v>
      </c>
      <c r="Q407">
        <f t="shared" si="54"/>
        <v>0</v>
      </c>
      <c r="R407">
        <f t="shared" si="55"/>
        <v>0</v>
      </c>
    </row>
    <row r="408" spans="2:18" x14ac:dyDescent="0.2">
      <c r="B408" s="1209"/>
      <c r="C408" s="1210"/>
      <c r="D408" s="939"/>
      <c r="E408" s="1211" t="str">
        <f t="shared" si="50"/>
        <v xml:space="preserve"> </v>
      </c>
      <c r="G408" s="1212" t="str">
        <f t="shared" si="51"/>
        <v xml:space="preserve"> </v>
      </c>
      <c r="H408" s="1201"/>
      <c r="I408">
        <f t="shared" si="48"/>
        <v>0</v>
      </c>
      <c r="K408">
        <f t="shared" si="49"/>
        <v>0</v>
      </c>
      <c r="L408" s="1213"/>
      <c r="N408" s="1214" t="str">
        <f t="shared" si="52"/>
        <v xml:space="preserve"> </v>
      </c>
      <c r="O408" s="1215" t="str">
        <f t="shared" si="53"/>
        <v xml:space="preserve"> </v>
      </c>
      <c r="Q408">
        <f t="shared" si="54"/>
        <v>0</v>
      </c>
      <c r="R408">
        <f t="shared" si="55"/>
        <v>0</v>
      </c>
    </row>
    <row r="409" spans="2:18" x14ac:dyDescent="0.2">
      <c r="B409" s="1209"/>
      <c r="C409" s="1210"/>
      <c r="D409" s="939"/>
      <c r="E409" s="1211" t="str">
        <f t="shared" si="50"/>
        <v xml:space="preserve"> </v>
      </c>
      <c r="G409" s="1212" t="str">
        <f t="shared" si="51"/>
        <v xml:space="preserve"> </v>
      </c>
      <c r="H409" s="1201"/>
      <c r="I409">
        <f t="shared" si="48"/>
        <v>0</v>
      </c>
      <c r="K409">
        <f t="shared" si="49"/>
        <v>0</v>
      </c>
      <c r="L409" s="1213"/>
      <c r="N409" s="1214" t="str">
        <f t="shared" si="52"/>
        <v xml:space="preserve"> </v>
      </c>
      <c r="O409" s="1215" t="str">
        <f t="shared" si="53"/>
        <v xml:space="preserve"> </v>
      </c>
      <c r="Q409">
        <f t="shared" si="54"/>
        <v>0</v>
      </c>
      <c r="R409">
        <f t="shared" si="55"/>
        <v>0</v>
      </c>
    </row>
    <row r="410" spans="2:18" x14ac:dyDescent="0.2">
      <c r="B410" s="1209"/>
      <c r="C410" s="1210"/>
      <c r="D410" s="939"/>
      <c r="E410" s="1211" t="str">
        <f t="shared" si="50"/>
        <v xml:space="preserve"> </v>
      </c>
      <c r="G410" s="1212" t="str">
        <f t="shared" si="51"/>
        <v xml:space="preserve"> </v>
      </c>
      <c r="H410" s="1201"/>
      <c r="I410">
        <f t="shared" si="48"/>
        <v>0</v>
      </c>
      <c r="K410">
        <f t="shared" si="49"/>
        <v>0</v>
      </c>
      <c r="L410" s="1213"/>
      <c r="N410" s="1214" t="str">
        <f t="shared" si="52"/>
        <v xml:space="preserve"> </v>
      </c>
      <c r="O410" s="1215" t="str">
        <f t="shared" si="53"/>
        <v xml:space="preserve"> </v>
      </c>
      <c r="Q410">
        <f t="shared" si="54"/>
        <v>0</v>
      </c>
      <c r="R410">
        <f t="shared" si="55"/>
        <v>0</v>
      </c>
    </row>
    <row r="411" spans="2:18" x14ac:dyDescent="0.2">
      <c r="B411" s="1209"/>
      <c r="C411" s="1210"/>
      <c r="D411" s="939"/>
      <c r="E411" s="1211" t="str">
        <f t="shared" si="50"/>
        <v xml:space="preserve"> </v>
      </c>
      <c r="G411" s="1212" t="str">
        <f t="shared" si="51"/>
        <v xml:space="preserve"> </v>
      </c>
      <c r="H411" s="1201"/>
      <c r="I411">
        <f t="shared" si="48"/>
        <v>0</v>
      </c>
      <c r="K411">
        <f t="shared" si="49"/>
        <v>0</v>
      </c>
      <c r="L411" s="1213"/>
      <c r="N411" s="1214" t="str">
        <f t="shared" si="52"/>
        <v xml:space="preserve"> </v>
      </c>
      <c r="O411" s="1215" t="str">
        <f t="shared" si="53"/>
        <v xml:space="preserve"> </v>
      </c>
      <c r="Q411">
        <f t="shared" si="54"/>
        <v>0</v>
      </c>
      <c r="R411">
        <f t="shared" si="55"/>
        <v>0</v>
      </c>
    </row>
    <row r="412" spans="2:18" x14ac:dyDescent="0.2">
      <c r="B412" s="1209"/>
      <c r="C412" s="1210"/>
      <c r="D412" s="939"/>
      <c r="E412" s="1211" t="str">
        <f t="shared" si="50"/>
        <v xml:space="preserve"> </v>
      </c>
      <c r="G412" s="1212" t="str">
        <f t="shared" si="51"/>
        <v xml:space="preserve"> </v>
      </c>
      <c r="H412" s="1201"/>
      <c r="I412">
        <f t="shared" si="48"/>
        <v>0</v>
      </c>
      <c r="K412">
        <f t="shared" si="49"/>
        <v>0</v>
      </c>
      <c r="L412" s="1213"/>
      <c r="N412" s="1214" t="str">
        <f t="shared" si="52"/>
        <v xml:space="preserve"> </v>
      </c>
      <c r="O412" s="1215" t="str">
        <f t="shared" si="53"/>
        <v xml:space="preserve"> </v>
      </c>
      <c r="Q412">
        <f t="shared" si="54"/>
        <v>0</v>
      </c>
      <c r="R412">
        <f t="shared" si="55"/>
        <v>0</v>
      </c>
    </row>
    <row r="413" spans="2:18" x14ac:dyDescent="0.2">
      <c r="B413" s="1209"/>
      <c r="C413" s="1210"/>
      <c r="D413" s="939"/>
      <c r="E413" s="1211" t="str">
        <f t="shared" si="50"/>
        <v xml:space="preserve"> </v>
      </c>
      <c r="G413" s="1212" t="str">
        <f t="shared" si="51"/>
        <v xml:space="preserve"> </v>
      </c>
      <c r="H413" s="1201"/>
      <c r="I413">
        <f t="shared" si="48"/>
        <v>0</v>
      </c>
      <c r="K413">
        <f t="shared" si="49"/>
        <v>0</v>
      </c>
      <c r="L413" s="1213"/>
      <c r="N413" s="1214" t="str">
        <f t="shared" si="52"/>
        <v xml:space="preserve"> </v>
      </c>
      <c r="O413" s="1215" t="str">
        <f t="shared" si="53"/>
        <v xml:space="preserve"> </v>
      </c>
      <c r="Q413">
        <f t="shared" si="54"/>
        <v>0</v>
      </c>
      <c r="R413">
        <f t="shared" si="55"/>
        <v>0</v>
      </c>
    </row>
    <row r="414" spans="2:18" x14ac:dyDescent="0.2">
      <c r="B414" s="1209"/>
      <c r="C414" s="1210"/>
      <c r="D414" s="939"/>
      <c r="E414" s="1211" t="str">
        <f t="shared" si="50"/>
        <v xml:space="preserve"> </v>
      </c>
      <c r="G414" s="1212" t="str">
        <f t="shared" si="51"/>
        <v xml:space="preserve"> </v>
      </c>
      <c r="H414" s="1201"/>
      <c r="I414">
        <f t="shared" si="48"/>
        <v>0</v>
      </c>
      <c r="K414">
        <f t="shared" si="49"/>
        <v>0</v>
      </c>
      <c r="L414" s="1213"/>
      <c r="N414" s="1214" t="str">
        <f t="shared" si="52"/>
        <v xml:space="preserve"> </v>
      </c>
      <c r="O414" s="1215" t="str">
        <f t="shared" si="53"/>
        <v xml:space="preserve"> </v>
      </c>
      <c r="Q414">
        <f t="shared" si="54"/>
        <v>0</v>
      </c>
      <c r="R414">
        <f t="shared" si="55"/>
        <v>0</v>
      </c>
    </row>
    <row r="415" spans="2:18" x14ac:dyDescent="0.2">
      <c r="B415" s="1209"/>
      <c r="C415" s="1210"/>
      <c r="D415" s="939"/>
      <c r="E415" s="1211" t="str">
        <f t="shared" si="50"/>
        <v xml:space="preserve"> </v>
      </c>
      <c r="G415" s="1212" t="str">
        <f t="shared" si="51"/>
        <v xml:space="preserve"> </v>
      </c>
      <c r="H415" s="1201"/>
      <c r="I415">
        <f t="shared" si="48"/>
        <v>0</v>
      </c>
      <c r="K415">
        <f t="shared" si="49"/>
        <v>0</v>
      </c>
      <c r="L415" s="1213"/>
      <c r="N415" s="1214" t="str">
        <f t="shared" si="52"/>
        <v xml:space="preserve"> </v>
      </c>
      <c r="O415" s="1215" t="str">
        <f t="shared" si="53"/>
        <v xml:space="preserve"> </v>
      </c>
      <c r="Q415">
        <f t="shared" si="54"/>
        <v>0</v>
      </c>
      <c r="R415">
        <f t="shared" si="55"/>
        <v>0</v>
      </c>
    </row>
    <row r="416" spans="2:18" x14ac:dyDescent="0.2">
      <c r="B416" s="1209"/>
      <c r="C416" s="1210"/>
      <c r="D416" s="939"/>
      <c r="E416" s="1211" t="str">
        <f t="shared" si="50"/>
        <v xml:space="preserve"> </v>
      </c>
      <c r="G416" s="1212" t="str">
        <f t="shared" si="51"/>
        <v xml:space="preserve"> </v>
      </c>
      <c r="H416" s="1201"/>
      <c r="I416">
        <f t="shared" si="48"/>
        <v>0</v>
      </c>
      <c r="K416">
        <f t="shared" si="49"/>
        <v>0</v>
      </c>
      <c r="L416" s="1213"/>
      <c r="N416" s="1214" t="str">
        <f t="shared" si="52"/>
        <v xml:space="preserve"> </v>
      </c>
      <c r="O416" s="1215" t="str">
        <f t="shared" si="53"/>
        <v xml:space="preserve"> </v>
      </c>
      <c r="Q416">
        <f t="shared" si="54"/>
        <v>0</v>
      </c>
      <c r="R416">
        <f t="shared" si="55"/>
        <v>0</v>
      </c>
    </row>
    <row r="417" spans="2:18" x14ac:dyDescent="0.2">
      <c r="B417" s="1209"/>
      <c r="C417" s="1210"/>
      <c r="D417" s="939"/>
      <c r="E417" s="1211" t="str">
        <f t="shared" si="50"/>
        <v xml:space="preserve"> </v>
      </c>
      <c r="G417" s="1212" t="str">
        <f t="shared" si="51"/>
        <v xml:space="preserve"> </v>
      </c>
      <c r="H417" s="1201"/>
      <c r="I417">
        <f t="shared" si="48"/>
        <v>0</v>
      </c>
      <c r="K417">
        <f t="shared" si="49"/>
        <v>0</v>
      </c>
      <c r="L417" s="1213"/>
      <c r="N417" s="1214" t="str">
        <f t="shared" si="52"/>
        <v xml:space="preserve"> </v>
      </c>
      <c r="O417" s="1215" t="str">
        <f t="shared" si="53"/>
        <v xml:space="preserve"> </v>
      </c>
      <c r="Q417">
        <f t="shared" si="54"/>
        <v>0</v>
      </c>
      <c r="R417">
        <f t="shared" si="55"/>
        <v>0</v>
      </c>
    </row>
    <row r="418" spans="2:18" x14ac:dyDescent="0.2">
      <c r="B418" s="1209"/>
      <c r="C418" s="1210"/>
      <c r="D418" s="939"/>
      <c r="E418" s="1211" t="str">
        <f t="shared" si="50"/>
        <v xml:space="preserve"> </v>
      </c>
      <c r="G418" s="1212" t="str">
        <f t="shared" si="51"/>
        <v xml:space="preserve"> </v>
      </c>
      <c r="H418" s="1201"/>
      <c r="I418">
        <f t="shared" si="48"/>
        <v>0</v>
      </c>
      <c r="K418">
        <f t="shared" si="49"/>
        <v>0</v>
      </c>
      <c r="L418" s="1213"/>
      <c r="N418" s="1214" t="str">
        <f t="shared" si="52"/>
        <v xml:space="preserve"> </v>
      </c>
      <c r="O418" s="1215" t="str">
        <f t="shared" si="53"/>
        <v xml:space="preserve"> </v>
      </c>
      <c r="Q418">
        <f t="shared" si="54"/>
        <v>0</v>
      </c>
      <c r="R418">
        <f t="shared" si="55"/>
        <v>0</v>
      </c>
    </row>
    <row r="419" spans="2:18" x14ac:dyDescent="0.2">
      <c r="B419" s="1209"/>
      <c r="C419" s="1210"/>
      <c r="D419" s="939"/>
      <c r="E419" s="1211" t="str">
        <f t="shared" si="50"/>
        <v xml:space="preserve"> </v>
      </c>
      <c r="G419" s="1212" t="str">
        <f t="shared" si="51"/>
        <v xml:space="preserve"> </v>
      </c>
      <c r="H419" s="1201"/>
      <c r="I419">
        <f t="shared" si="48"/>
        <v>0</v>
      </c>
      <c r="K419">
        <f t="shared" si="49"/>
        <v>0</v>
      </c>
      <c r="L419" s="1213"/>
      <c r="N419" s="1214" t="str">
        <f t="shared" si="52"/>
        <v xml:space="preserve"> </v>
      </c>
      <c r="O419" s="1215" t="str">
        <f t="shared" si="53"/>
        <v xml:space="preserve"> </v>
      </c>
      <c r="Q419">
        <f t="shared" si="54"/>
        <v>0</v>
      </c>
      <c r="R419">
        <f t="shared" si="55"/>
        <v>0</v>
      </c>
    </row>
    <row r="420" spans="2:18" x14ac:dyDescent="0.2">
      <c r="B420" s="1209"/>
      <c r="C420" s="1210"/>
      <c r="D420" s="939"/>
      <c r="E420" s="1211" t="str">
        <f t="shared" si="50"/>
        <v xml:space="preserve"> </v>
      </c>
      <c r="G420" s="1212" t="str">
        <f t="shared" si="51"/>
        <v xml:space="preserve"> </v>
      </c>
      <c r="H420" s="1201"/>
      <c r="I420">
        <f t="shared" si="48"/>
        <v>0</v>
      </c>
      <c r="K420">
        <f t="shared" si="49"/>
        <v>0</v>
      </c>
      <c r="L420" s="1213"/>
      <c r="N420" s="1214" t="str">
        <f t="shared" si="52"/>
        <v xml:space="preserve"> </v>
      </c>
      <c r="O420" s="1215" t="str">
        <f t="shared" si="53"/>
        <v xml:space="preserve"> </v>
      </c>
      <c r="Q420">
        <f t="shared" si="54"/>
        <v>0</v>
      </c>
      <c r="R420">
        <f t="shared" si="55"/>
        <v>0</v>
      </c>
    </row>
    <row r="421" spans="2:18" x14ac:dyDescent="0.2">
      <c r="B421" s="1209"/>
      <c r="C421" s="1210"/>
      <c r="D421" s="939"/>
      <c r="E421" s="1211" t="str">
        <f t="shared" si="50"/>
        <v xml:space="preserve"> </v>
      </c>
      <c r="G421" s="1212" t="str">
        <f t="shared" si="51"/>
        <v xml:space="preserve"> </v>
      </c>
      <c r="H421" s="1201"/>
      <c r="I421">
        <f t="shared" si="48"/>
        <v>0</v>
      </c>
      <c r="K421">
        <f t="shared" si="49"/>
        <v>0</v>
      </c>
      <c r="L421" s="1213"/>
      <c r="N421" s="1214" t="str">
        <f t="shared" si="52"/>
        <v xml:space="preserve"> </v>
      </c>
      <c r="O421" s="1215" t="str">
        <f t="shared" si="53"/>
        <v xml:space="preserve"> </v>
      </c>
      <c r="Q421">
        <f t="shared" si="54"/>
        <v>0</v>
      </c>
      <c r="R421">
        <f t="shared" si="55"/>
        <v>0</v>
      </c>
    </row>
    <row r="422" spans="2:18" x14ac:dyDescent="0.2">
      <c r="B422" s="1209"/>
      <c r="C422" s="1210"/>
      <c r="D422" s="939"/>
      <c r="E422" s="1211" t="str">
        <f t="shared" si="50"/>
        <v xml:space="preserve"> </v>
      </c>
      <c r="G422" s="1212" t="str">
        <f t="shared" si="51"/>
        <v xml:space="preserve"> </v>
      </c>
      <c r="H422" s="1201"/>
      <c r="I422">
        <f t="shared" si="48"/>
        <v>0</v>
      </c>
      <c r="K422">
        <f t="shared" si="49"/>
        <v>0</v>
      </c>
      <c r="L422" s="1213"/>
      <c r="N422" s="1214" t="str">
        <f t="shared" si="52"/>
        <v xml:space="preserve"> </v>
      </c>
      <c r="O422" s="1215" t="str">
        <f t="shared" si="53"/>
        <v xml:space="preserve"> </v>
      </c>
      <c r="Q422">
        <f t="shared" si="54"/>
        <v>0</v>
      </c>
      <c r="R422">
        <f t="shared" si="55"/>
        <v>0</v>
      </c>
    </row>
    <row r="423" spans="2:18" x14ac:dyDescent="0.2">
      <c r="B423" s="1209"/>
      <c r="C423" s="1210"/>
      <c r="D423" s="939"/>
      <c r="E423" s="1211" t="str">
        <f t="shared" si="50"/>
        <v xml:space="preserve"> </v>
      </c>
      <c r="G423" s="1212" t="str">
        <f t="shared" si="51"/>
        <v xml:space="preserve"> </v>
      </c>
      <c r="H423" s="1201"/>
      <c r="I423">
        <f t="shared" si="48"/>
        <v>0</v>
      </c>
      <c r="K423">
        <f t="shared" si="49"/>
        <v>0</v>
      </c>
      <c r="L423" s="1213"/>
      <c r="N423" s="1214" t="str">
        <f t="shared" si="52"/>
        <v xml:space="preserve"> </v>
      </c>
      <c r="O423" s="1215" t="str">
        <f t="shared" si="53"/>
        <v xml:space="preserve"> </v>
      </c>
      <c r="Q423">
        <f t="shared" si="54"/>
        <v>0</v>
      </c>
      <c r="R423">
        <f t="shared" si="55"/>
        <v>0</v>
      </c>
    </row>
    <row r="424" spans="2:18" x14ac:dyDescent="0.2">
      <c r="B424" s="1209"/>
      <c r="C424" s="1210"/>
      <c r="D424" s="939"/>
      <c r="E424" s="1211" t="str">
        <f t="shared" si="50"/>
        <v xml:space="preserve"> </v>
      </c>
      <c r="G424" s="1212" t="str">
        <f t="shared" si="51"/>
        <v xml:space="preserve"> </v>
      </c>
      <c r="H424" s="1201"/>
      <c r="I424">
        <f t="shared" si="48"/>
        <v>0</v>
      </c>
      <c r="K424">
        <f t="shared" si="49"/>
        <v>0</v>
      </c>
      <c r="L424" s="1213"/>
      <c r="N424" s="1214" t="str">
        <f t="shared" si="52"/>
        <v xml:space="preserve"> </v>
      </c>
      <c r="O424" s="1215" t="str">
        <f t="shared" si="53"/>
        <v xml:space="preserve"> </v>
      </c>
      <c r="Q424">
        <f t="shared" si="54"/>
        <v>0</v>
      </c>
      <c r="R424">
        <f t="shared" si="55"/>
        <v>0</v>
      </c>
    </row>
    <row r="425" spans="2:18" x14ac:dyDescent="0.2">
      <c r="B425" s="1209"/>
      <c r="C425" s="1210"/>
      <c r="D425" s="939"/>
      <c r="E425" s="1211" t="str">
        <f t="shared" si="50"/>
        <v xml:space="preserve"> </v>
      </c>
      <c r="G425" s="1212" t="str">
        <f t="shared" si="51"/>
        <v xml:space="preserve"> </v>
      </c>
      <c r="H425" s="1201"/>
      <c r="I425">
        <f t="shared" si="48"/>
        <v>0</v>
      </c>
      <c r="K425">
        <f t="shared" si="49"/>
        <v>0</v>
      </c>
      <c r="L425" s="1213"/>
      <c r="N425" s="1214" t="str">
        <f t="shared" si="52"/>
        <v xml:space="preserve"> </v>
      </c>
      <c r="O425" s="1215" t="str">
        <f t="shared" si="53"/>
        <v xml:space="preserve"> </v>
      </c>
      <c r="Q425">
        <f t="shared" si="54"/>
        <v>0</v>
      </c>
      <c r="R425">
        <f t="shared" si="55"/>
        <v>0</v>
      </c>
    </row>
    <row r="426" spans="2:18" x14ac:dyDescent="0.2">
      <c r="B426" s="1209"/>
      <c r="C426" s="1210"/>
      <c r="D426" s="939"/>
      <c r="E426" s="1211" t="str">
        <f t="shared" si="50"/>
        <v xml:space="preserve"> </v>
      </c>
      <c r="G426" s="1212" t="str">
        <f t="shared" si="51"/>
        <v xml:space="preserve"> </v>
      </c>
      <c r="H426" s="1201"/>
      <c r="I426">
        <f t="shared" si="48"/>
        <v>0</v>
      </c>
      <c r="K426">
        <f t="shared" si="49"/>
        <v>0</v>
      </c>
      <c r="L426" s="1213"/>
      <c r="N426" s="1214" t="str">
        <f t="shared" si="52"/>
        <v xml:space="preserve"> </v>
      </c>
      <c r="O426" s="1215" t="str">
        <f t="shared" si="53"/>
        <v xml:space="preserve"> </v>
      </c>
      <c r="Q426">
        <f t="shared" si="54"/>
        <v>0</v>
      </c>
      <c r="R426">
        <f t="shared" si="55"/>
        <v>0</v>
      </c>
    </row>
    <row r="427" spans="2:18" x14ac:dyDescent="0.2">
      <c r="B427" s="1209"/>
      <c r="C427" s="1210"/>
      <c r="D427" s="939"/>
      <c r="E427" s="1211" t="str">
        <f t="shared" si="50"/>
        <v xml:space="preserve"> </v>
      </c>
      <c r="G427" s="1212" t="str">
        <f t="shared" si="51"/>
        <v xml:space="preserve"> </v>
      </c>
      <c r="H427" s="1201"/>
      <c r="I427">
        <f t="shared" si="48"/>
        <v>0</v>
      </c>
      <c r="K427">
        <f t="shared" si="49"/>
        <v>0</v>
      </c>
      <c r="L427" s="1213"/>
      <c r="N427" s="1214" t="str">
        <f t="shared" si="52"/>
        <v xml:space="preserve"> </v>
      </c>
      <c r="O427" s="1215" t="str">
        <f t="shared" si="53"/>
        <v xml:space="preserve"> </v>
      </c>
      <c r="Q427">
        <f t="shared" si="54"/>
        <v>0</v>
      </c>
      <c r="R427">
        <f t="shared" si="55"/>
        <v>0</v>
      </c>
    </row>
    <row r="428" spans="2:18" x14ac:dyDescent="0.2">
      <c r="B428" s="1209"/>
      <c r="C428" s="1210"/>
      <c r="D428" s="939"/>
      <c r="E428" s="1211" t="str">
        <f t="shared" si="50"/>
        <v xml:space="preserve"> </v>
      </c>
      <c r="G428" s="1212" t="str">
        <f t="shared" si="51"/>
        <v xml:space="preserve"> </v>
      </c>
      <c r="H428" s="1201"/>
      <c r="I428">
        <f t="shared" si="48"/>
        <v>0</v>
      </c>
      <c r="K428">
        <f t="shared" si="49"/>
        <v>0</v>
      </c>
      <c r="L428" s="1213"/>
      <c r="N428" s="1214" t="str">
        <f t="shared" si="52"/>
        <v xml:space="preserve"> </v>
      </c>
      <c r="O428" s="1215" t="str">
        <f t="shared" si="53"/>
        <v xml:space="preserve"> </v>
      </c>
      <c r="Q428">
        <f t="shared" si="54"/>
        <v>0</v>
      </c>
      <c r="R428">
        <f t="shared" si="55"/>
        <v>0</v>
      </c>
    </row>
    <row r="429" spans="2:18" x14ac:dyDescent="0.2">
      <c r="B429" s="1209"/>
      <c r="C429" s="1210"/>
      <c r="D429" s="939"/>
      <c r="E429" s="1211" t="str">
        <f t="shared" si="50"/>
        <v xml:space="preserve"> </v>
      </c>
      <c r="G429" s="1212" t="str">
        <f t="shared" si="51"/>
        <v xml:space="preserve"> </v>
      </c>
      <c r="H429" s="1201"/>
      <c r="I429">
        <f t="shared" si="48"/>
        <v>0</v>
      </c>
      <c r="K429">
        <f t="shared" si="49"/>
        <v>0</v>
      </c>
      <c r="L429" s="1213"/>
      <c r="N429" s="1214" t="str">
        <f t="shared" si="52"/>
        <v xml:space="preserve"> </v>
      </c>
      <c r="O429" s="1215" t="str">
        <f t="shared" si="53"/>
        <v xml:space="preserve"> </v>
      </c>
      <c r="Q429">
        <f t="shared" si="54"/>
        <v>0</v>
      </c>
      <c r="R429">
        <f t="shared" si="55"/>
        <v>0</v>
      </c>
    </row>
    <row r="430" spans="2:18" x14ac:dyDescent="0.2">
      <c r="B430" s="1209"/>
      <c r="C430" s="1210"/>
      <c r="D430" s="939"/>
      <c r="E430" s="1211" t="str">
        <f t="shared" si="50"/>
        <v xml:space="preserve"> </v>
      </c>
      <c r="G430" s="1212" t="str">
        <f t="shared" si="51"/>
        <v xml:space="preserve"> </v>
      </c>
      <c r="H430" s="1201"/>
      <c r="I430">
        <f t="shared" si="48"/>
        <v>0</v>
      </c>
      <c r="K430">
        <f t="shared" si="49"/>
        <v>0</v>
      </c>
      <c r="L430" s="1213"/>
      <c r="N430" s="1214" t="str">
        <f t="shared" si="52"/>
        <v xml:space="preserve"> </v>
      </c>
      <c r="O430" s="1215" t="str">
        <f t="shared" si="53"/>
        <v xml:space="preserve"> </v>
      </c>
      <c r="Q430">
        <f t="shared" si="54"/>
        <v>0</v>
      </c>
      <c r="R430">
        <f t="shared" si="55"/>
        <v>0</v>
      </c>
    </row>
    <row r="431" spans="2:18" x14ac:dyDescent="0.2">
      <c r="B431" s="1209"/>
      <c r="C431" s="1210"/>
      <c r="D431" s="939"/>
      <c r="E431" s="1211" t="str">
        <f t="shared" si="50"/>
        <v xml:space="preserve"> </v>
      </c>
      <c r="G431" s="1212" t="str">
        <f t="shared" si="51"/>
        <v xml:space="preserve"> </v>
      </c>
      <c r="H431" s="1201"/>
      <c r="I431">
        <f t="shared" si="48"/>
        <v>0</v>
      </c>
      <c r="K431">
        <f t="shared" si="49"/>
        <v>0</v>
      </c>
      <c r="L431" s="1213"/>
      <c r="N431" s="1214" t="str">
        <f t="shared" si="52"/>
        <v xml:space="preserve"> </v>
      </c>
      <c r="O431" s="1215" t="str">
        <f t="shared" si="53"/>
        <v xml:space="preserve"> </v>
      </c>
      <c r="Q431">
        <f t="shared" si="54"/>
        <v>0</v>
      </c>
      <c r="R431">
        <f t="shared" si="55"/>
        <v>0</v>
      </c>
    </row>
    <row r="432" spans="2:18" x14ac:dyDescent="0.2">
      <c r="B432" s="1209"/>
      <c r="C432" s="1210"/>
      <c r="D432" s="939"/>
      <c r="E432" s="1211" t="str">
        <f t="shared" si="50"/>
        <v xml:space="preserve"> </v>
      </c>
      <c r="G432" s="1212" t="str">
        <f t="shared" si="51"/>
        <v xml:space="preserve"> </v>
      </c>
      <c r="H432" s="1201"/>
      <c r="I432">
        <f t="shared" si="48"/>
        <v>0</v>
      </c>
      <c r="K432">
        <f t="shared" si="49"/>
        <v>0</v>
      </c>
      <c r="L432" s="1213"/>
      <c r="N432" s="1214" t="str">
        <f t="shared" si="52"/>
        <v xml:space="preserve"> </v>
      </c>
      <c r="O432" s="1215" t="str">
        <f t="shared" si="53"/>
        <v xml:space="preserve"> </v>
      </c>
      <c r="Q432">
        <f t="shared" si="54"/>
        <v>0</v>
      </c>
      <c r="R432">
        <f t="shared" si="55"/>
        <v>0</v>
      </c>
    </row>
    <row r="433" spans="2:18" x14ac:dyDescent="0.2">
      <c r="B433" s="1209"/>
      <c r="C433" s="1210"/>
      <c r="D433" s="939"/>
      <c r="E433" s="1211" t="str">
        <f t="shared" si="50"/>
        <v xml:space="preserve"> </v>
      </c>
      <c r="G433" s="1212" t="str">
        <f t="shared" si="51"/>
        <v xml:space="preserve"> </v>
      </c>
      <c r="H433" s="1201"/>
      <c r="I433">
        <f t="shared" si="48"/>
        <v>0</v>
      </c>
      <c r="K433">
        <f t="shared" si="49"/>
        <v>0</v>
      </c>
      <c r="L433" s="1213"/>
      <c r="N433" s="1214" t="str">
        <f t="shared" si="52"/>
        <v xml:space="preserve"> </v>
      </c>
      <c r="O433" s="1215" t="str">
        <f t="shared" si="53"/>
        <v xml:space="preserve"> </v>
      </c>
      <c r="Q433">
        <f t="shared" si="54"/>
        <v>0</v>
      </c>
      <c r="R433">
        <f t="shared" si="55"/>
        <v>0</v>
      </c>
    </row>
    <row r="434" spans="2:18" x14ac:dyDescent="0.2">
      <c r="B434" s="1209"/>
      <c r="C434" s="1210"/>
      <c r="D434" s="939"/>
      <c r="E434" s="1211" t="str">
        <f t="shared" si="50"/>
        <v xml:space="preserve"> </v>
      </c>
      <c r="G434" s="1212" t="str">
        <f t="shared" si="51"/>
        <v xml:space="preserve"> </v>
      </c>
      <c r="H434" s="1201"/>
      <c r="I434">
        <f t="shared" si="48"/>
        <v>0</v>
      </c>
      <c r="K434">
        <f t="shared" si="49"/>
        <v>0</v>
      </c>
      <c r="L434" s="1213"/>
      <c r="N434" s="1214" t="str">
        <f t="shared" si="52"/>
        <v xml:space="preserve"> </v>
      </c>
      <c r="O434" s="1215" t="str">
        <f t="shared" si="53"/>
        <v xml:space="preserve"> </v>
      </c>
      <c r="Q434">
        <f t="shared" si="54"/>
        <v>0</v>
      </c>
      <c r="R434">
        <f t="shared" si="55"/>
        <v>0</v>
      </c>
    </row>
    <row r="435" spans="2:18" x14ac:dyDescent="0.2">
      <c r="B435" s="1209"/>
      <c r="C435" s="1210"/>
      <c r="D435" s="939"/>
      <c r="E435" s="1211" t="str">
        <f t="shared" si="50"/>
        <v xml:space="preserve"> </v>
      </c>
      <c r="G435" s="1212" t="str">
        <f t="shared" si="51"/>
        <v xml:space="preserve"> </v>
      </c>
      <c r="H435" s="1201"/>
      <c r="I435">
        <f t="shared" si="48"/>
        <v>0</v>
      </c>
      <c r="K435">
        <f t="shared" si="49"/>
        <v>0</v>
      </c>
      <c r="L435" s="1213"/>
      <c r="N435" s="1214" t="str">
        <f t="shared" si="52"/>
        <v xml:space="preserve"> </v>
      </c>
      <c r="O435" s="1215" t="str">
        <f t="shared" si="53"/>
        <v xml:space="preserve"> </v>
      </c>
      <c r="Q435">
        <f t="shared" si="54"/>
        <v>0</v>
      </c>
      <c r="R435">
        <f t="shared" si="55"/>
        <v>0</v>
      </c>
    </row>
    <row r="436" spans="2:18" x14ac:dyDescent="0.2">
      <c r="B436" s="1209"/>
      <c r="C436" s="1210"/>
      <c r="D436" s="939"/>
      <c r="E436" s="1211" t="str">
        <f t="shared" si="50"/>
        <v xml:space="preserve"> </v>
      </c>
      <c r="G436" s="1212" t="str">
        <f t="shared" si="51"/>
        <v xml:space="preserve"> </v>
      </c>
      <c r="H436" s="1201"/>
      <c r="I436">
        <f t="shared" si="48"/>
        <v>0</v>
      </c>
      <c r="K436">
        <f t="shared" si="49"/>
        <v>0</v>
      </c>
      <c r="L436" s="1213"/>
      <c r="N436" s="1214" t="str">
        <f t="shared" si="52"/>
        <v xml:space="preserve"> </v>
      </c>
      <c r="O436" s="1215" t="str">
        <f t="shared" si="53"/>
        <v xml:space="preserve"> </v>
      </c>
      <c r="Q436">
        <f t="shared" si="54"/>
        <v>0</v>
      </c>
      <c r="R436">
        <f t="shared" si="55"/>
        <v>0</v>
      </c>
    </row>
    <row r="437" spans="2:18" x14ac:dyDescent="0.2">
      <c r="B437" s="1209"/>
      <c r="C437" s="1210"/>
      <c r="D437" s="939"/>
      <c r="E437" s="1211" t="str">
        <f t="shared" si="50"/>
        <v xml:space="preserve"> </v>
      </c>
      <c r="G437" s="1212" t="str">
        <f t="shared" si="51"/>
        <v xml:space="preserve"> </v>
      </c>
      <c r="H437" s="1201"/>
      <c r="I437">
        <f t="shared" si="48"/>
        <v>0</v>
      </c>
      <c r="K437">
        <f t="shared" si="49"/>
        <v>0</v>
      </c>
      <c r="L437" s="1213"/>
      <c r="N437" s="1214" t="str">
        <f t="shared" si="52"/>
        <v xml:space="preserve"> </v>
      </c>
      <c r="O437" s="1215" t="str">
        <f t="shared" si="53"/>
        <v xml:space="preserve"> </v>
      </c>
      <c r="Q437">
        <f t="shared" si="54"/>
        <v>0</v>
      </c>
      <c r="R437">
        <f t="shared" si="55"/>
        <v>0</v>
      </c>
    </row>
    <row r="438" spans="2:18" x14ac:dyDescent="0.2">
      <c r="B438" s="1209"/>
      <c r="C438" s="1210"/>
      <c r="D438" s="939"/>
      <c r="E438" s="1211" t="str">
        <f t="shared" si="50"/>
        <v xml:space="preserve"> </v>
      </c>
      <c r="G438" s="1212" t="str">
        <f t="shared" si="51"/>
        <v xml:space="preserve"> </v>
      </c>
      <c r="H438" s="1201"/>
      <c r="I438">
        <f t="shared" si="48"/>
        <v>0</v>
      </c>
      <c r="K438">
        <f t="shared" si="49"/>
        <v>0</v>
      </c>
      <c r="L438" s="1213"/>
      <c r="N438" s="1214" t="str">
        <f t="shared" si="52"/>
        <v xml:space="preserve"> </v>
      </c>
      <c r="O438" s="1215" t="str">
        <f t="shared" si="53"/>
        <v xml:space="preserve"> </v>
      </c>
      <c r="Q438">
        <f t="shared" si="54"/>
        <v>0</v>
      </c>
      <c r="R438">
        <f t="shared" si="55"/>
        <v>0</v>
      </c>
    </row>
    <row r="439" spans="2:18" x14ac:dyDescent="0.2">
      <c r="B439" s="1209"/>
      <c r="C439" s="1210"/>
      <c r="D439" s="939"/>
      <c r="E439" s="1211" t="str">
        <f t="shared" si="50"/>
        <v xml:space="preserve"> </v>
      </c>
      <c r="G439" s="1212" t="str">
        <f t="shared" si="51"/>
        <v xml:space="preserve"> </v>
      </c>
      <c r="H439" s="1201"/>
      <c r="I439">
        <f t="shared" si="48"/>
        <v>0</v>
      </c>
      <c r="K439">
        <f t="shared" si="49"/>
        <v>0</v>
      </c>
      <c r="L439" s="1213"/>
      <c r="N439" s="1214" t="str">
        <f t="shared" si="52"/>
        <v xml:space="preserve"> </v>
      </c>
      <c r="O439" s="1215" t="str">
        <f t="shared" si="53"/>
        <v xml:space="preserve"> </v>
      </c>
      <c r="Q439">
        <f t="shared" si="54"/>
        <v>0</v>
      </c>
      <c r="R439">
        <f t="shared" si="55"/>
        <v>0</v>
      </c>
    </row>
    <row r="440" spans="2:18" x14ac:dyDescent="0.2">
      <c r="B440" s="1209"/>
      <c r="C440" s="1210"/>
      <c r="D440" s="939"/>
      <c r="E440" s="1211" t="str">
        <f t="shared" si="50"/>
        <v xml:space="preserve"> </v>
      </c>
      <c r="G440" s="1212" t="str">
        <f t="shared" si="51"/>
        <v xml:space="preserve"> </v>
      </c>
      <c r="H440" s="1201"/>
      <c r="I440">
        <f t="shared" si="48"/>
        <v>0</v>
      </c>
      <c r="K440">
        <f t="shared" si="49"/>
        <v>0</v>
      </c>
      <c r="L440" s="1213"/>
      <c r="N440" s="1214" t="str">
        <f t="shared" si="52"/>
        <v xml:space="preserve"> </v>
      </c>
      <c r="O440" s="1215" t="str">
        <f t="shared" si="53"/>
        <v xml:space="preserve"> </v>
      </c>
      <c r="Q440">
        <f t="shared" si="54"/>
        <v>0</v>
      </c>
      <c r="R440">
        <f t="shared" si="55"/>
        <v>0</v>
      </c>
    </row>
    <row r="441" spans="2:18" x14ac:dyDescent="0.2">
      <c r="B441" s="1209"/>
      <c r="C441" s="1210"/>
      <c r="D441" s="939"/>
      <c r="E441" s="1211" t="str">
        <f t="shared" si="50"/>
        <v xml:space="preserve"> </v>
      </c>
      <c r="G441" s="1212" t="str">
        <f t="shared" si="51"/>
        <v xml:space="preserve"> </v>
      </c>
      <c r="H441" s="1201"/>
      <c r="I441">
        <f t="shared" si="48"/>
        <v>0</v>
      </c>
      <c r="K441">
        <f t="shared" si="49"/>
        <v>0</v>
      </c>
      <c r="L441" s="1213"/>
      <c r="N441" s="1214" t="str">
        <f t="shared" si="52"/>
        <v xml:space="preserve"> </v>
      </c>
      <c r="O441" s="1215" t="str">
        <f t="shared" si="53"/>
        <v xml:space="preserve"> </v>
      </c>
      <c r="Q441">
        <f t="shared" si="54"/>
        <v>0</v>
      </c>
      <c r="R441">
        <f t="shared" si="55"/>
        <v>0</v>
      </c>
    </row>
    <row r="442" spans="2:18" x14ac:dyDescent="0.2">
      <c r="B442" s="1209"/>
      <c r="C442" s="1210"/>
      <c r="D442" s="939"/>
      <c r="E442" s="1211" t="str">
        <f t="shared" si="50"/>
        <v xml:space="preserve"> </v>
      </c>
      <c r="G442" s="1212" t="str">
        <f t="shared" si="51"/>
        <v xml:space="preserve"> </v>
      </c>
      <c r="H442" s="1201"/>
      <c r="I442">
        <f t="shared" si="48"/>
        <v>0</v>
      </c>
      <c r="K442">
        <f t="shared" si="49"/>
        <v>0</v>
      </c>
      <c r="L442" s="1213"/>
      <c r="N442" s="1214" t="str">
        <f t="shared" si="52"/>
        <v xml:space="preserve"> </v>
      </c>
      <c r="O442" s="1215" t="str">
        <f t="shared" si="53"/>
        <v xml:space="preserve"> </v>
      </c>
      <c r="Q442">
        <f t="shared" si="54"/>
        <v>0</v>
      </c>
      <c r="R442">
        <f t="shared" si="55"/>
        <v>0</v>
      </c>
    </row>
    <row r="443" spans="2:18" x14ac:dyDescent="0.2">
      <c r="B443" s="1209"/>
      <c r="C443" s="1210"/>
      <c r="D443" s="939"/>
      <c r="E443" s="1211" t="str">
        <f t="shared" si="50"/>
        <v xml:space="preserve"> </v>
      </c>
      <c r="G443" s="1212" t="str">
        <f t="shared" si="51"/>
        <v xml:space="preserve"> </v>
      </c>
      <c r="H443" s="1201"/>
      <c r="I443">
        <f t="shared" si="48"/>
        <v>0</v>
      </c>
      <c r="K443">
        <f t="shared" si="49"/>
        <v>0</v>
      </c>
      <c r="L443" s="1213"/>
      <c r="N443" s="1214" t="str">
        <f t="shared" si="52"/>
        <v xml:space="preserve"> </v>
      </c>
      <c r="O443" s="1215" t="str">
        <f t="shared" si="53"/>
        <v xml:space="preserve"> </v>
      </c>
      <c r="Q443">
        <f t="shared" si="54"/>
        <v>0</v>
      </c>
      <c r="R443">
        <f t="shared" si="55"/>
        <v>0</v>
      </c>
    </row>
    <row r="444" spans="2:18" x14ac:dyDescent="0.2">
      <c r="B444" s="1209"/>
      <c r="C444" s="1210"/>
      <c r="D444" s="939"/>
      <c r="E444" s="1211" t="str">
        <f t="shared" si="50"/>
        <v xml:space="preserve"> </v>
      </c>
      <c r="G444" s="1212" t="str">
        <f t="shared" si="51"/>
        <v xml:space="preserve"> </v>
      </c>
      <c r="H444" s="1201"/>
      <c r="I444">
        <f t="shared" si="48"/>
        <v>0</v>
      </c>
      <c r="K444">
        <f t="shared" si="49"/>
        <v>0</v>
      </c>
      <c r="L444" s="1213"/>
      <c r="N444" s="1214" t="str">
        <f t="shared" si="52"/>
        <v xml:space="preserve"> </v>
      </c>
      <c r="O444" s="1215" t="str">
        <f t="shared" si="53"/>
        <v xml:space="preserve"> </v>
      </c>
      <c r="Q444">
        <f t="shared" si="54"/>
        <v>0</v>
      </c>
      <c r="R444">
        <f t="shared" si="55"/>
        <v>0</v>
      </c>
    </row>
    <row r="445" spans="2:18" x14ac:dyDescent="0.2">
      <c r="B445" s="1209"/>
      <c r="C445" s="1210"/>
      <c r="D445" s="939"/>
      <c r="E445" s="1211" t="str">
        <f t="shared" si="50"/>
        <v xml:space="preserve"> </v>
      </c>
      <c r="G445" s="1212" t="str">
        <f t="shared" si="51"/>
        <v xml:space="preserve"> </v>
      </c>
      <c r="H445" s="1201"/>
      <c r="I445">
        <f t="shared" si="48"/>
        <v>0</v>
      </c>
      <c r="K445">
        <f t="shared" si="49"/>
        <v>0</v>
      </c>
      <c r="L445" s="1213"/>
      <c r="N445" s="1214" t="str">
        <f t="shared" si="52"/>
        <v xml:space="preserve"> </v>
      </c>
      <c r="O445" s="1215" t="str">
        <f t="shared" si="53"/>
        <v xml:space="preserve"> </v>
      </c>
      <c r="Q445">
        <f t="shared" si="54"/>
        <v>0</v>
      </c>
      <c r="R445">
        <f t="shared" si="55"/>
        <v>0</v>
      </c>
    </row>
    <row r="446" spans="2:18" x14ac:dyDescent="0.2">
      <c r="B446" s="1209"/>
      <c r="C446" s="1210"/>
      <c r="D446" s="939"/>
      <c r="E446" s="1211" t="str">
        <f t="shared" si="50"/>
        <v xml:space="preserve"> </v>
      </c>
      <c r="G446" s="1212" t="str">
        <f t="shared" si="51"/>
        <v xml:space="preserve"> </v>
      </c>
      <c r="H446" s="1201"/>
      <c r="I446">
        <f t="shared" si="48"/>
        <v>0</v>
      </c>
      <c r="K446">
        <f t="shared" si="49"/>
        <v>0</v>
      </c>
      <c r="L446" s="1213"/>
      <c r="N446" s="1214" t="str">
        <f t="shared" si="52"/>
        <v xml:space="preserve"> </v>
      </c>
      <c r="O446" s="1215" t="str">
        <f t="shared" si="53"/>
        <v xml:space="preserve"> </v>
      </c>
      <c r="Q446">
        <f t="shared" si="54"/>
        <v>0</v>
      </c>
      <c r="R446">
        <f t="shared" si="55"/>
        <v>0</v>
      </c>
    </row>
    <row r="447" spans="2:18" x14ac:dyDescent="0.2">
      <c r="B447" s="1209"/>
      <c r="C447" s="1210"/>
      <c r="D447" s="939"/>
      <c r="E447" s="1211" t="str">
        <f t="shared" si="50"/>
        <v xml:space="preserve"> </v>
      </c>
      <c r="G447" s="1212" t="str">
        <f t="shared" si="51"/>
        <v xml:space="preserve"> </v>
      </c>
      <c r="H447" s="1201"/>
      <c r="I447">
        <f t="shared" si="48"/>
        <v>0</v>
      </c>
      <c r="K447">
        <f t="shared" si="49"/>
        <v>0</v>
      </c>
      <c r="L447" s="1213"/>
      <c r="N447" s="1214" t="str">
        <f t="shared" si="52"/>
        <v xml:space="preserve"> </v>
      </c>
      <c r="O447" s="1215" t="str">
        <f t="shared" si="53"/>
        <v xml:space="preserve"> </v>
      </c>
      <c r="Q447">
        <f t="shared" si="54"/>
        <v>0</v>
      </c>
      <c r="R447">
        <f t="shared" si="55"/>
        <v>0</v>
      </c>
    </row>
    <row r="448" spans="2:18" x14ac:dyDescent="0.2">
      <c r="B448" s="1209"/>
      <c r="C448" s="1210"/>
      <c r="D448" s="939"/>
      <c r="E448" s="1211" t="str">
        <f t="shared" si="50"/>
        <v xml:space="preserve"> </v>
      </c>
      <c r="G448" s="1212" t="str">
        <f t="shared" si="51"/>
        <v xml:space="preserve"> </v>
      </c>
      <c r="H448" s="1201"/>
      <c r="I448">
        <f t="shared" si="48"/>
        <v>0</v>
      </c>
      <c r="K448">
        <f t="shared" si="49"/>
        <v>0</v>
      </c>
      <c r="L448" s="1213"/>
      <c r="N448" s="1214" t="str">
        <f t="shared" si="52"/>
        <v xml:space="preserve"> </v>
      </c>
      <c r="O448" s="1215" t="str">
        <f t="shared" si="53"/>
        <v xml:space="preserve"> </v>
      </c>
      <c r="Q448">
        <f t="shared" si="54"/>
        <v>0</v>
      </c>
      <c r="R448">
        <f t="shared" si="55"/>
        <v>0</v>
      </c>
    </row>
    <row r="449" spans="2:18" x14ac:dyDescent="0.2">
      <c r="B449" s="1209"/>
      <c r="C449" s="1210"/>
      <c r="D449" s="939"/>
      <c r="E449" s="1211" t="str">
        <f t="shared" si="50"/>
        <v xml:space="preserve"> </v>
      </c>
      <c r="G449" s="1212" t="str">
        <f t="shared" si="51"/>
        <v xml:space="preserve"> </v>
      </c>
      <c r="H449" s="1201"/>
      <c r="I449">
        <f t="shared" si="48"/>
        <v>0</v>
      </c>
      <c r="K449">
        <f t="shared" si="49"/>
        <v>0</v>
      </c>
      <c r="L449" s="1213"/>
      <c r="N449" s="1214" t="str">
        <f t="shared" si="52"/>
        <v xml:space="preserve"> </v>
      </c>
      <c r="O449" s="1215" t="str">
        <f t="shared" si="53"/>
        <v xml:space="preserve"> </v>
      </c>
      <c r="Q449">
        <f t="shared" si="54"/>
        <v>0</v>
      </c>
      <c r="R449">
        <f t="shared" si="55"/>
        <v>0</v>
      </c>
    </row>
    <row r="450" spans="2:18" x14ac:dyDescent="0.2">
      <c r="B450" s="1209"/>
      <c r="C450" s="1210"/>
      <c r="D450" s="939"/>
      <c r="E450" s="1211" t="str">
        <f t="shared" si="50"/>
        <v xml:space="preserve"> </v>
      </c>
      <c r="G450" s="1212" t="str">
        <f t="shared" si="51"/>
        <v xml:space="preserve"> </v>
      </c>
      <c r="H450" s="1201"/>
      <c r="I450">
        <f t="shared" si="48"/>
        <v>0</v>
      </c>
      <c r="K450">
        <f t="shared" si="49"/>
        <v>0</v>
      </c>
      <c r="L450" s="1213"/>
      <c r="N450" s="1214" t="str">
        <f t="shared" si="52"/>
        <v xml:space="preserve"> </v>
      </c>
      <c r="O450" s="1215" t="str">
        <f t="shared" si="53"/>
        <v xml:space="preserve"> </v>
      </c>
      <c r="Q450">
        <f t="shared" si="54"/>
        <v>0</v>
      </c>
      <c r="R450">
        <f t="shared" si="55"/>
        <v>0</v>
      </c>
    </row>
    <row r="451" spans="2:18" x14ac:dyDescent="0.2">
      <c r="B451" s="1209"/>
      <c r="C451" s="1210"/>
      <c r="D451" s="939"/>
      <c r="E451" s="1211" t="str">
        <f t="shared" si="50"/>
        <v xml:space="preserve"> </v>
      </c>
      <c r="G451" s="1212" t="str">
        <f t="shared" si="51"/>
        <v xml:space="preserve"> </v>
      </c>
      <c r="H451" s="1201"/>
      <c r="I451">
        <f t="shared" si="48"/>
        <v>0</v>
      </c>
      <c r="K451">
        <f t="shared" si="49"/>
        <v>0</v>
      </c>
      <c r="L451" s="1213"/>
      <c r="N451" s="1214" t="str">
        <f t="shared" si="52"/>
        <v xml:space="preserve"> </v>
      </c>
      <c r="O451" s="1215" t="str">
        <f t="shared" si="53"/>
        <v xml:space="preserve"> </v>
      </c>
      <c r="Q451">
        <f t="shared" si="54"/>
        <v>0</v>
      </c>
      <c r="R451">
        <f t="shared" si="55"/>
        <v>0</v>
      </c>
    </row>
    <row r="452" spans="2:18" x14ac:dyDescent="0.2">
      <c r="B452" s="1209"/>
      <c r="C452" s="1210"/>
      <c r="D452" s="939"/>
      <c r="E452" s="1211" t="str">
        <f t="shared" si="50"/>
        <v xml:space="preserve"> </v>
      </c>
      <c r="G452" s="1212" t="str">
        <f t="shared" si="51"/>
        <v xml:space="preserve"> </v>
      </c>
      <c r="H452" s="1201"/>
      <c r="I452">
        <f t="shared" si="48"/>
        <v>0</v>
      </c>
      <c r="K452">
        <f t="shared" si="49"/>
        <v>0</v>
      </c>
      <c r="L452" s="1213"/>
      <c r="N452" s="1214" t="str">
        <f t="shared" si="52"/>
        <v xml:space="preserve"> </v>
      </c>
      <c r="O452" s="1215" t="str">
        <f t="shared" si="53"/>
        <v xml:space="preserve"> </v>
      </c>
      <c r="Q452">
        <f t="shared" si="54"/>
        <v>0</v>
      </c>
      <c r="R452">
        <f t="shared" si="55"/>
        <v>0</v>
      </c>
    </row>
    <row r="453" spans="2:18" x14ac:dyDescent="0.2">
      <c r="B453" s="1209"/>
      <c r="C453" s="1210"/>
      <c r="D453" s="939"/>
      <c r="E453" s="1211" t="str">
        <f t="shared" si="50"/>
        <v xml:space="preserve"> </v>
      </c>
      <c r="G453" s="1212" t="str">
        <f t="shared" si="51"/>
        <v xml:space="preserve"> </v>
      </c>
      <c r="H453" s="1201"/>
      <c r="I453">
        <f t="shared" si="48"/>
        <v>0</v>
      </c>
      <c r="K453">
        <f t="shared" si="49"/>
        <v>0</v>
      </c>
      <c r="L453" s="1213"/>
      <c r="N453" s="1214" t="str">
        <f t="shared" si="52"/>
        <v xml:space="preserve"> </v>
      </c>
      <c r="O453" s="1215" t="str">
        <f t="shared" si="53"/>
        <v xml:space="preserve"> </v>
      </c>
      <c r="Q453">
        <f t="shared" si="54"/>
        <v>0</v>
      </c>
      <c r="R453">
        <f t="shared" si="55"/>
        <v>0</v>
      </c>
    </row>
    <row r="454" spans="2:18" x14ac:dyDescent="0.2">
      <c r="B454" s="1209"/>
      <c r="C454" s="1210"/>
      <c r="D454" s="939"/>
      <c r="E454" s="1211" t="str">
        <f t="shared" si="50"/>
        <v xml:space="preserve"> </v>
      </c>
      <c r="G454" s="1212" t="str">
        <f t="shared" si="51"/>
        <v xml:space="preserve"> </v>
      </c>
      <c r="H454" s="1201"/>
      <c r="I454">
        <f t="shared" si="48"/>
        <v>0</v>
      </c>
      <c r="K454">
        <f t="shared" si="49"/>
        <v>0</v>
      </c>
      <c r="L454" s="1213"/>
      <c r="N454" s="1214" t="str">
        <f t="shared" si="52"/>
        <v xml:space="preserve"> </v>
      </c>
      <c r="O454" s="1215" t="str">
        <f t="shared" si="53"/>
        <v xml:space="preserve"> </v>
      </c>
      <c r="Q454">
        <f t="shared" si="54"/>
        <v>0</v>
      </c>
      <c r="R454">
        <f t="shared" si="55"/>
        <v>0</v>
      </c>
    </row>
    <row r="455" spans="2:18" x14ac:dyDescent="0.2">
      <c r="B455" s="1209"/>
      <c r="C455" s="1210"/>
      <c r="D455" s="939"/>
      <c r="E455" s="1211" t="str">
        <f t="shared" si="50"/>
        <v xml:space="preserve"> </v>
      </c>
      <c r="G455" s="1212" t="str">
        <f t="shared" si="51"/>
        <v xml:space="preserve"> </v>
      </c>
      <c r="H455" s="1201"/>
      <c r="I455">
        <f t="shared" si="48"/>
        <v>0</v>
      </c>
      <c r="K455">
        <f t="shared" si="49"/>
        <v>0</v>
      </c>
      <c r="L455" s="1213"/>
      <c r="N455" s="1214" t="str">
        <f t="shared" si="52"/>
        <v xml:space="preserve"> </v>
      </c>
      <c r="O455" s="1215" t="str">
        <f t="shared" si="53"/>
        <v xml:space="preserve"> </v>
      </c>
      <c r="Q455">
        <f t="shared" si="54"/>
        <v>0</v>
      </c>
      <c r="R455">
        <f t="shared" si="55"/>
        <v>0</v>
      </c>
    </row>
    <row r="456" spans="2:18" x14ac:dyDescent="0.2">
      <c r="B456" s="1209"/>
      <c r="C456" s="1210"/>
      <c r="D456" s="939"/>
      <c r="E456" s="1211" t="str">
        <f t="shared" si="50"/>
        <v xml:space="preserve"> </v>
      </c>
      <c r="G456" s="1212" t="str">
        <f t="shared" si="51"/>
        <v xml:space="preserve"> </v>
      </c>
      <c r="H456" s="1201"/>
      <c r="I456">
        <f t="shared" ref="I456:I519" si="56">(J456+C456)/12</f>
        <v>0</v>
      </c>
      <c r="K456">
        <f t="shared" ref="K456:K519" si="57">I456+B456</f>
        <v>0</v>
      </c>
      <c r="L456" s="1213"/>
      <c r="N456" s="1214" t="str">
        <f t="shared" si="52"/>
        <v xml:space="preserve"> </v>
      </c>
      <c r="O456" s="1215" t="str">
        <f t="shared" si="53"/>
        <v xml:space="preserve"> </v>
      </c>
      <c r="Q456">
        <f t="shared" si="54"/>
        <v>0</v>
      </c>
      <c r="R456">
        <f t="shared" si="55"/>
        <v>0</v>
      </c>
    </row>
    <row r="457" spans="2:18" x14ac:dyDescent="0.2">
      <c r="B457" s="1209"/>
      <c r="C457" s="1210"/>
      <c r="D457" s="939"/>
      <c r="E457" s="1211" t="str">
        <f t="shared" si="50"/>
        <v xml:space="preserve"> </v>
      </c>
      <c r="G457" s="1212" t="str">
        <f t="shared" si="51"/>
        <v xml:space="preserve"> </v>
      </c>
      <c r="H457" s="1201"/>
      <c r="I457">
        <f t="shared" si="56"/>
        <v>0</v>
      </c>
      <c r="K457">
        <f t="shared" si="57"/>
        <v>0</v>
      </c>
      <c r="L457" s="1213"/>
      <c r="N457" s="1214" t="str">
        <f t="shared" si="52"/>
        <v xml:space="preserve"> </v>
      </c>
      <c r="O457" s="1215" t="str">
        <f t="shared" si="53"/>
        <v xml:space="preserve"> </v>
      </c>
      <c r="Q457">
        <f t="shared" si="54"/>
        <v>0</v>
      </c>
      <c r="R457">
        <f t="shared" si="55"/>
        <v>0</v>
      </c>
    </row>
    <row r="458" spans="2:18" x14ac:dyDescent="0.2">
      <c r="B458" s="1209"/>
      <c r="C458" s="1210"/>
      <c r="D458" s="939"/>
      <c r="E458" s="1211" t="str">
        <f t="shared" ref="E458:E521" si="58">IF(K458=0," ",IF(K458&gt;0,K458*12*25.4))</f>
        <v xml:space="preserve"> </v>
      </c>
      <c r="G458" s="1212" t="str">
        <f t="shared" ref="G458:G521" si="59">IF(K458=0," ",IF(K458&gt;0,E458/1000))</f>
        <v xml:space="preserve"> </v>
      </c>
      <c r="H458" s="1201"/>
      <c r="I458">
        <f t="shared" si="56"/>
        <v>0</v>
      </c>
      <c r="K458">
        <f t="shared" si="57"/>
        <v>0</v>
      </c>
      <c r="L458" s="1213"/>
      <c r="N458" s="1214" t="str">
        <f t="shared" ref="N458:N521" si="60">IF(R458=0," ",IF(R458&gt;0,TRUNC(R458)))</f>
        <v xml:space="preserve"> </v>
      </c>
      <c r="O458" s="1215" t="str">
        <f t="shared" ref="O458:O521" si="61">IF(R458=0," ",IF(R458&gt;0,(R458-N458)*12))</f>
        <v xml:space="preserve"> </v>
      </c>
      <c r="Q458">
        <f t="shared" ref="Q458:Q521" si="62">L458/25.4</f>
        <v>0</v>
      </c>
      <c r="R458">
        <f t="shared" ref="R458:R521" si="63">Q458/12</f>
        <v>0</v>
      </c>
    </row>
    <row r="459" spans="2:18" x14ac:dyDescent="0.2">
      <c r="B459" s="1209"/>
      <c r="C459" s="1210"/>
      <c r="D459" s="939"/>
      <c r="E459" s="1211" t="str">
        <f t="shared" si="58"/>
        <v xml:space="preserve"> </v>
      </c>
      <c r="G459" s="1212" t="str">
        <f t="shared" si="59"/>
        <v xml:space="preserve"> </v>
      </c>
      <c r="H459" s="1201"/>
      <c r="I459">
        <f t="shared" si="56"/>
        <v>0</v>
      </c>
      <c r="K459">
        <f t="shared" si="57"/>
        <v>0</v>
      </c>
      <c r="L459" s="1213"/>
      <c r="N459" s="1214" t="str">
        <f t="shared" si="60"/>
        <v xml:space="preserve"> </v>
      </c>
      <c r="O459" s="1215" t="str">
        <f t="shared" si="61"/>
        <v xml:space="preserve"> </v>
      </c>
      <c r="Q459">
        <f t="shared" si="62"/>
        <v>0</v>
      </c>
      <c r="R459">
        <f t="shared" si="63"/>
        <v>0</v>
      </c>
    </row>
    <row r="460" spans="2:18" x14ac:dyDescent="0.2">
      <c r="B460" s="1209"/>
      <c r="C460" s="1210"/>
      <c r="D460" s="939"/>
      <c r="E460" s="1211" t="str">
        <f t="shared" si="58"/>
        <v xml:space="preserve"> </v>
      </c>
      <c r="G460" s="1212" t="str">
        <f t="shared" si="59"/>
        <v xml:space="preserve"> </v>
      </c>
      <c r="H460" s="1201"/>
      <c r="I460">
        <f t="shared" si="56"/>
        <v>0</v>
      </c>
      <c r="K460">
        <f t="shared" si="57"/>
        <v>0</v>
      </c>
      <c r="L460" s="1213"/>
      <c r="N460" s="1214" t="str">
        <f t="shared" si="60"/>
        <v xml:space="preserve"> </v>
      </c>
      <c r="O460" s="1215" t="str">
        <f t="shared" si="61"/>
        <v xml:space="preserve"> </v>
      </c>
      <c r="Q460">
        <f t="shared" si="62"/>
        <v>0</v>
      </c>
      <c r="R460">
        <f t="shared" si="63"/>
        <v>0</v>
      </c>
    </row>
    <row r="461" spans="2:18" x14ac:dyDescent="0.2">
      <c r="B461" s="1209"/>
      <c r="C461" s="1210"/>
      <c r="D461" s="939"/>
      <c r="E461" s="1211" t="str">
        <f t="shared" si="58"/>
        <v xml:space="preserve"> </v>
      </c>
      <c r="G461" s="1212" t="str">
        <f t="shared" si="59"/>
        <v xml:space="preserve"> </v>
      </c>
      <c r="H461" s="1201"/>
      <c r="I461">
        <f t="shared" si="56"/>
        <v>0</v>
      </c>
      <c r="K461">
        <f t="shared" si="57"/>
        <v>0</v>
      </c>
      <c r="L461" s="1213"/>
      <c r="N461" s="1214" t="str">
        <f t="shared" si="60"/>
        <v xml:space="preserve"> </v>
      </c>
      <c r="O461" s="1215" t="str">
        <f t="shared" si="61"/>
        <v xml:space="preserve"> </v>
      </c>
      <c r="Q461">
        <f t="shared" si="62"/>
        <v>0</v>
      </c>
      <c r="R461">
        <f t="shared" si="63"/>
        <v>0</v>
      </c>
    </row>
    <row r="462" spans="2:18" x14ac:dyDescent="0.2">
      <c r="B462" s="1209"/>
      <c r="C462" s="1210"/>
      <c r="D462" s="939"/>
      <c r="E462" s="1211" t="str">
        <f t="shared" si="58"/>
        <v xml:space="preserve"> </v>
      </c>
      <c r="G462" s="1212" t="str">
        <f t="shared" si="59"/>
        <v xml:space="preserve"> </v>
      </c>
      <c r="H462" s="1201"/>
      <c r="I462">
        <f t="shared" si="56"/>
        <v>0</v>
      </c>
      <c r="K462">
        <f t="shared" si="57"/>
        <v>0</v>
      </c>
      <c r="L462" s="1213"/>
      <c r="N462" s="1214" t="str">
        <f t="shared" si="60"/>
        <v xml:space="preserve"> </v>
      </c>
      <c r="O462" s="1215" t="str">
        <f t="shared" si="61"/>
        <v xml:space="preserve"> </v>
      </c>
      <c r="Q462">
        <f t="shared" si="62"/>
        <v>0</v>
      </c>
      <c r="R462">
        <f t="shared" si="63"/>
        <v>0</v>
      </c>
    </row>
    <row r="463" spans="2:18" x14ac:dyDescent="0.2">
      <c r="B463" s="1209"/>
      <c r="C463" s="1210"/>
      <c r="D463" s="939"/>
      <c r="E463" s="1211" t="str">
        <f t="shared" si="58"/>
        <v xml:space="preserve"> </v>
      </c>
      <c r="G463" s="1212" t="str">
        <f t="shared" si="59"/>
        <v xml:space="preserve"> </v>
      </c>
      <c r="H463" s="1201"/>
      <c r="I463">
        <f t="shared" si="56"/>
        <v>0</v>
      </c>
      <c r="K463">
        <f t="shared" si="57"/>
        <v>0</v>
      </c>
      <c r="L463" s="1213"/>
      <c r="N463" s="1214" t="str">
        <f t="shared" si="60"/>
        <v xml:space="preserve"> </v>
      </c>
      <c r="O463" s="1215" t="str">
        <f t="shared" si="61"/>
        <v xml:space="preserve"> </v>
      </c>
      <c r="Q463">
        <f t="shared" si="62"/>
        <v>0</v>
      </c>
      <c r="R463">
        <f t="shared" si="63"/>
        <v>0</v>
      </c>
    </row>
    <row r="464" spans="2:18" x14ac:dyDescent="0.2">
      <c r="B464" s="1209"/>
      <c r="C464" s="1210"/>
      <c r="D464" s="939"/>
      <c r="E464" s="1211" t="str">
        <f t="shared" si="58"/>
        <v xml:space="preserve"> </v>
      </c>
      <c r="G464" s="1212" t="str">
        <f t="shared" si="59"/>
        <v xml:space="preserve"> </v>
      </c>
      <c r="H464" s="1201"/>
      <c r="I464">
        <f t="shared" si="56"/>
        <v>0</v>
      </c>
      <c r="K464">
        <f t="shared" si="57"/>
        <v>0</v>
      </c>
      <c r="L464" s="1213"/>
      <c r="N464" s="1214" t="str">
        <f t="shared" si="60"/>
        <v xml:space="preserve"> </v>
      </c>
      <c r="O464" s="1215" t="str">
        <f t="shared" si="61"/>
        <v xml:space="preserve"> </v>
      </c>
      <c r="Q464">
        <f t="shared" si="62"/>
        <v>0</v>
      </c>
      <c r="R464">
        <f t="shared" si="63"/>
        <v>0</v>
      </c>
    </row>
    <row r="465" spans="2:18" x14ac:dyDescent="0.2">
      <c r="B465" s="1209"/>
      <c r="C465" s="1210"/>
      <c r="D465" s="939"/>
      <c r="E465" s="1211" t="str">
        <f t="shared" si="58"/>
        <v xml:space="preserve"> </v>
      </c>
      <c r="G465" s="1212" t="str">
        <f t="shared" si="59"/>
        <v xml:space="preserve"> </v>
      </c>
      <c r="H465" s="1201"/>
      <c r="I465">
        <f t="shared" si="56"/>
        <v>0</v>
      </c>
      <c r="K465">
        <f t="shared" si="57"/>
        <v>0</v>
      </c>
      <c r="L465" s="1213"/>
      <c r="N465" s="1214" t="str">
        <f t="shared" si="60"/>
        <v xml:space="preserve"> </v>
      </c>
      <c r="O465" s="1215" t="str">
        <f t="shared" si="61"/>
        <v xml:space="preserve"> </v>
      </c>
      <c r="Q465">
        <f t="shared" si="62"/>
        <v>0</v>
      </c>
      <c r="R465">
        <f t="shared" si="63"/>
        <v>0</v>
      </c>
    </row>
    <row r="466" spans="2:18" x14ac:dyDescent="0.2">
      <c r="B466" s="1209"/>
      <c r="C466" s="1210"/>
      <c r="D466" s="939"/>
      <c r="E466" s="1211" t="str">
        <f t="shared" si="58"/>
        <v xml:space="preserve"> </v>
      </c>
      <c r="G466" s="1212" t="str">
        <f t="shared" si="59"/>
        <v xml:space="preserve"> </v>
      </c>
      <c r="H466" s="1201"/>
      <c r="I466">
        <f t="shared" si="56"/>
        <v>0</v>
      </c>
      <c r="K466">
        <f t="shared" si="57"/>
        <v>0</v>
      </c>
      <c r="L466" s="1213"/>
      <c r="N466" s="1214" t="str">
        <f t="shared" si="60"/>
        <v xml:space="preserve"> </v>
      </c>
      <c r="O466" s="1215" t="str">
        <f t="shared" si="61"/>
        <v xml:space="preserve"> </v>
      </c>
      <c r="Q466">
        <f t="shared" si="62"/>
        <v>0</v>
      </c>
      <c r="R466">
        <f t="shared" si="63"/>
        <v>0</v>
      </c>
    </row>
    <row r="467" spans="2:18" x14ac:dyDescent="0.2">
      <c r="B467" s="1209"/>
      <c r="C467" s="1210"/>
      <c r="D467" s="939"/>
      <c r="E467" s="1211" t="str">
        <f t="shared" si="58"/>
        <v xml:space="preserve"> </v>
      </c>
      <c r="G467" s="1212" t="str">
        <f t="shared" si="59"/>
        <v xml:space="preserve"> </v>
      </c>
      <c r="H467" s="1201"/>
      <c r="I467">
        <f t="shared" si="56"/>
        <v>0</v>
      </c>
      <c r="K467">
        <f t="shared" si="57"/>
        <v>0</v>
      </c>
      <c r="L467" s="1213"/>
      <c r="N467" s="1214" t="str">
        <f t="shared" si="60"/>
        <v xml:space="preserve"> </v>
      </c>
      <c r="O467" s="1215" t="str">
        <f t="shared" si="61"/>
        <v xml:space="preserve"> </v>
      </c>
      <c r="Q467">
        <f t="shared" si="62"/>
        <v>0</v>
      </c>
      <c r="R467">
        <f t="shared" si="63"/>
        <v>0</v>
      </c>
    </row>
    <row r="468" spans="2:18" x14ac:dyDescent="0.2">
      <c r="B468" s="1209"/>
      <c r="C468" s="1210"/>
      <c r="D468" s="939"/>
      <c r="E468" s="1211" t="str">
        <f t="shared" si="58"/>
        <v xml:space="preserve"> </v>
      </c>
      <c r="G468" s="1212" t="str">
        <f t="shared" si="59"/>
        <v xml:space="preserve"> </v>
      </c>
      <c r="H468" s="1201"/>
      <c r="I468">
        <f t="shared" si="56"/>
        <v>0</v>
      </c>
      <c r="K468">
        <f t="shared" si="57"/>
        <v>0</v>
      </c>
      <c r="L468" s="1213"/>
      <c r="N468" s="1214" t="str">
        <f t="shared" si="60"/>
        <v xml:space="preserve"> </v>
      </c>
      <c r="O468" s="1215" t="str">
        <f t="shared" si="61"/>
        <v xml:space="preserve"> </v>
      </c>
      <c r="Q468">
        <f t="shared" si="62"/>
        <v>0</v>
      </c>
      <c r="R468">
        <f t="shared" si="63"/>
        <v>0</v>
      </c>
    </row>
    <row r="469" spans="2:18" x14ac:dyDescent="0.2">
      <c r="B469" s="1209"/>
      <c r="C469" s="1210"/>
      <c r="D469" s="939"/>
      <c r="E469" s="1211" t="str">
        <f t="shared" si="58"/>
        <v xml:space="preserve"> </v>
      </c>
      <c r="G469" s="1212" t="str">
        <f t="shared" si="59"/>
        <v xml:space="preserve"> </v>
      </c>
      <c r="H469" s="1201"/>
      <c r="I469">
        <f t="shared" si="56"/>
        <v>0</v>
      </c>
      <c r="K469">
        <f t="shared" si="57"/>
        <v>0</v>
      </c>
      <c r="L469" s="1213"/>
      <c r="N469" s="1214" t="str">
        <f t="shared" si="60"/>
        <v xml:space="preserve"> </v>
      </c>
      <c r="O469" s="1215" t="str">
        <f t="shared" si="61"/>
        <v xml:space="preserve"> </v>
      </c>
      <c r="Q469">
        <f t="shared" si="62"/>
        <v>0</v>
      </c>
      <c r="R469">
        <f t="shared" si="63"/>
        <v>0</v>
      </c>
    </row>
    <row r="470" spans="2:18" x14ac:dyDescent="0.2">
      <c r="B470" s="1209"/>
      <c r="C470" s="1210"/>
      <c r="D470" s="939"/>
      <c r="E470" s="1211" t="str">
        <f t="shared" si="58"/>
        <v xml:space="preserve"> </v>
      </c>
      <c r="G470" s="1212" t="str">
        <f t="shared" si="59"/>
        <v xml:space="preserve"> </v>
      </c>
      <c r="H470" s="1201"/>
      <c r="I470">
        <f t="shared" si="56"/>
        <v>0</v>
      </c>
      <c r="K470">
        <f t="shared" si="57"/>
        <v>0</v>
      </c>
      <c r="L470" s="1213"/>
      <c r="N470" s="1214" t="str">
        <f t="shared" si="60"/>
        <v xml:space="preserve"> </v>
      </c>
      <c r="O470" s="1215" t="str">
        <f t="shared" si="61"/>
        <v xml:space="preserve"> </v>
      </c>
      <c r="Q470">
        <f t="shared" si="62"/>
        <v>0</v>
      </c>
      <c r="R470">
        <f t="shared" si="63"/>
        <v>0</v>
      </c>
    </row>
    <row r="471" spans="2:18" x14ac:dyDescent="0.2">
      <c r="B471" s="1209"/>
      <c r="C471" s="1210"/>
      <c r="D471" s="939"/>
      <c r="E471" s="1211" t="str">
        <f t="shared" si="58"/>
        <v xml:space="preserve"> </v>
      </c>
      <c r="G471" s="1212" t="str">
        <f t="shared" si="59"/>
        <v xml:space="preserve"> </v>
      </c>
      <c r="H471" s="1201"/>
      <c r="I471">
        <f t="shared" si="56"/>
        <v>0</v>
      </c>
      <c r="K471">
        <f t="shared" si="57"/>
        <v>0</v>
      </c>
      <c r="L471" s="1213"/>
      <c r="N471" s="1214" t="str">
        <f t="shared" si="60"/>
        <v xml:space="preserve"> </v>
      </c>
      <c r="O471" s="1215" t="str">
        <f t="shared" si="61"/>
        <v xml:space="preserve"> </v>
      </c>
      <c r="Q471">
        <f t="shared" si="62"/>
        <v>0</v>
      </c>
      <c r="R471">
        <f t="shared" si="63"/>
        <v>0</v>
      </c>
    </row>
    <row r="472" spans="2:18" x14ac:dyDescent="0.2">
      <c r="B472" s="1209"/>
      <c r="C472" s="1210"/>
      <c r="D472" s="939"/>
      <c r="E472" s="1211" t="str">
        <f t="shared" si="58"/>
        <v xml:space="preserve"> </v>
      </c>
      <c r="G472" s="1212" t="str">
        <f t="shared" si="59"/>
        <v xml:space="preserve"> </v>
      </c>
      <c r="H472" s="1201"/>
      <c r="I472">
        <f t="shared" si="56"/>
        <v>0</v>
      </c>
      <c r="K472">
        <f t="shared" si="57"/>
        <v>0</v>
      </c>
      <c r="L472" s="1213"/>
      <c r="N472" s="1214" t="str">
        <f t="shared" si="60"/>
        <v xml:space="preserve"> </v>
      </c>
      <c r="O472" s="1215" t="str">
        <f t="shared" si="61"/>
        <v xml:space="preserve"> </v>
      </c>
      <c r="Q472">
        <f t="shared" si="62"/>
        <v>0</v>
      </c>
      <c r="R472">
        <f t="shared" si="63"/>
        <v>0</v>
      </c>
    </row>
    <row r="473" spans="2:18" x14ac:dyDescent="0.2">
      <c r="B473" s="1209"/>
      <c r="C473" s="1210"/>
      <c r="D473" s="939"/>
      <c r="E473" s="1211" t="str">
        <f t="shared" si="58"/>
        <v xml:space="preserve"> </v>
      </c>
      <c r="G473" s="1212" t="str">
        <f t="shared" si="59"/>
        <v xml:space="preserve"> </v>
      </c>
      <c r="H473" s="1201"/>
      <c r="I473">
        <f t="shared" si="56"/>
        <v>0</v>
      </c>
      <c r="K473">
        <f t="shared" si="57"/>
        <v>0</v>
      </c>
      <c r="L473" s="1213"/>
      <c r="N473" s="1214" t="str">
        <f t="shared" si="60"/>
        <v xml:space="preserve"> </v>
      </c>
      <c r="O473" s="1215" t="str">
        <f t="shared" si="61"/>
        <v xml:space="preserve"> </v>
      </c>
      <c r="Q473">
        <f t="shared" si="62"/>
        <v>0</v>
      </c>
      <c r="R473">
        <f t="shared" si="63"/>
        <v>0</v>
      </c>
    </row>
    <row r="474" spans="2:18" x14ac:dyDescent="0.2">
      <c r="B474" s="1209"/>
      <c r="C474" s="1210"/>
      <c r="D474" s="939"/>
      <c r="E474" s="1211" t="str">
        <f t="shared" si="58"/>
        <v xml:space="preserve"> </v>
      </c>
      <c r="G474" s="1212" t="str">
        <f t="shared" si="59"/>
        <v xml:space="preserve"> </v>
      </c>
      <c r="H474" s="1201"/>
      <c r="I474">
        <f t="shared" si="56"/>
        <v>0</v>
      </c>
      <c r="K474">
        <f t="shared" si="57"/>
        <v>0</v>
      </c>
      <c r="L474" s="1213"/>
      <c r="N474" s="1214" t="str">
        <f t="shared" si="60"/>
        <v xml:space="preserve"> </v>
      </c>
      <c r="O474" s="1215" t="str">
        <f t="shared" si="61"/>
        <v xml:space="preserve"> </v>
      </c>
      <c r="Q474">
        <f t="shared" si="62"/>
        <v>0</v>
      </c>
      <c r="R474">
        <f t="shared" si="63"/>
        <v>0</v>
      </c>
    </row>
    <row r="475" spans="2:18" x14ac:dyDescent="0.2">
      <c r="B475" s="1209"/>
      <c r="C475" s="1210"/>
      <c r="D475" s="939"/>
      <c r="E475" s="1211" t="str">
        <f t="shared" si="58"/>
        <v xml:space="preserve"> </v>
      </c>
      <c r="G475" s="1212" t="str">
        <f t="shared" si="59"/>
        <v xml:space="preserve"> </v>
      </c>
      <c r="H475" s="1201"/>
      <c r="I475">
        <f t="shared" si="56"/>
        <v>0</v>
      </c>
      <c r="K475">
        <f t="shared" si="57"/>
        <v>0</v>
      </c>
      <c r="L475" s="1213"/>
      <c r="N475" s="1214" t="str">
        <f t="shared" si="60"/>
        <v xml:space="preserve"> </v>
      </c>
      <c r="O475" s="1215" t="str">
        <f t="shared" si="61"/>
        <v xml:space="preserve"> </v>
      </c>
      <c r="Q475">
        <f t="shared" si="62"/>
        <v>0</v>
      </c>
      <c r="R475">
        <f t="shared" si="63"/>
        <v>0</v>
      </c>
    </row>
    <row r="476" spans="2:18" x14ac:dyDescent="0.2">
      <c r="B476" s="1209"/>
      <c r="C476" s="1210"/>
      <c r="D476" s="939"/>
      <c r="E476" s="1211" t="str">
        <f t="shared" si="58"/>
        <v xml:space="preserve"> </v>
      </c>
      <c r="G476" s="1212" t="str">
        <f t="shared" si="59"/>
        <v xml:space="preserve"> </v>
      </c>
      <c r="H476" s="1201"/>
      <c r="I476">
        <f t="shared" si="56"/>
        <v>0</v>
      </c>
      <c r="K476">
        <f t="shared" si="57"/>
        <v>0</v>
      </c>
      <c r="L476" s="1213"/>
      <c r="N476" s="1214" t="str">
        <f t="shared" si="60"/>
        <v xml:space="preserve"> </v>
      </c>
      <c r="O476" s="1215" t="str">
        <f t="shared" si="61"/>
        <v xml:space="preserve"> </v>
      </c>
      <c r="Q476">
        <f t="shared" si="62"/>
        <v>0</v>
      </c>
      <c r="R476">
        <f t="shared" si="63"/>
        <v>0</v>
      </c>
    </row>
    <row r="477" spans="2:18" x14ac:dyDescent="0.2">
      <c r="B477" s="1209"/>
      <c r="C477" s="1210"/>
      <c r="D477" s="939"/>
      <c r="E477" s="1211" t="str">
        <f t="shared" si="58"/>
        <v xml:space="preserve"> </v>
      </c>
      <c r="G477" s="1212" t="str">
        <f t="shared" si="59"/>
        <v xml:space="preserve"> </v>
      </c>
      <c r="H477" s="1201"/>
      <c r="I477">
        <f t="shared" si="56"/>
        <v>0</v>
      </c>
      <c r="K477">
        <f t="shared" si="57"/>
        <v>0</v>
      </c>
      <c r="L477" s="1213"/>
      <c r="N477" s="1214" t="str">
        <f t="shared" si="60"/>
        <v xml:space="preserve"> </v>
      </c>
      <c r="O477" s="1215" t="str">
        <f t="shared" si="61"/>
        <v xml:space="preserve"> </v>
      </c>
      <c r="Q477">
        <f t="shared" si="62"/>
        <v>0</v>
      </c>
      <c r="R477">
        <f t="shared" si="63"/>
        <v>0</v>
      </c>
    </row>
    <row r="478" spans="2:18" x14ac:dyDescent="0.2">
      <c r="B478" s="1209"/>
      <c r="C478" s="1210"/>
      <c r="D478" s="939"/>
      <c r="E478" s="1211" t="str">
        <f t="shared" si="58"/>
        <v xml:space="preserve"> </v>
      </c>
      <c r="G478" s="1212" t="str">
        <f t="shared" si="59"/>
        <v xml:space="preserve"> </v>
      </c>
      <c r="H478" s="1201"/>
      <c r="I478">
        <f t="shared" si="56"/>
        <v>0</v>
      </c>
      <c r="K478">
        <f t="shared" si="57"/>
        <v>0</v>
      </c>
      <c r="L478" s="1213"/>
      <c r="N478" s="1214" t="str">
        <f t="shared" si="60"/>
        <v xml:space="preserve"> </v>
      </c>
      <c r="O478" s="1215" t="str">
        <f t="shared" si="61"/>
        <v xml:space="preserve"> </v>
      </c>
      <c r="Q478">
        <f t="shared" si="62"/>
        <v>0</v>
      </c>
      <c r="R478">
        <f t="shared" si="63"/>
        <v>0</v>
      </c>
    </row>
    <row r="479" spans="2:18" x14ac:dyDescent="0.2">
      <c r="B479" s="1209"/>
      <c r="C479" s="1210"/>
      <c r="D479" s="939"/>
      <c r="E479" s="1211" t="str">
        <f t="shared" si="58"/>
        <v xml:space="preserve"> </v>
      </c>
      <c r="G479" s="1212" t="str">
        <f t="shared" si="59"/>
        <v xml:space="preserve"> </v>
      </c>
      <c r="H479" s="1201"/>
      <c r="I479">
        <f t="shared" si="56"/>
        <v>0</v>
      </c>
      <c r="K479">
        <f t="shared" si="57"/>
        <v>0</v>
      </c>
      <c r="L479" s="1213"/>
      <c r="N479" s="1214" t="str">
        <f t="shared" si="60"/>
        <v xml:space="preserve"> </v>
      </c>
      <c r="O479" s="1215" t="str">
        <f t="shared" si="61"/>
        <v xml:space="preserve"> </v>
      </c>
      <c r="Q479">
        <f t="shared" si="62"/>
        <v>0</v>
      </c>
      <c r="R479">
        <f t="shared" si="63"/>
        <v>0</v>
      </c>
    </row>
    <row r="480" spans="2:18" x14ac:dyDescent="0.2">
      <c r="B480" s="1209"/>
      <c r="C480" s="1210"/>
      <c r="D480" s="939"/>
      <c r="E480" s="1211" t="str">
        <f t="shared" si="58"/>
        <v xml:space="preserve"> </v>
      </c>
      <c r="G480" s="1212" t="str">
        <f t="shared" si="59"/>
        <v xml:space="preserve"> </v>
      </c>
      <c r="H480" s="1201"/>
      <c r="I480">
        <f t="shared" si="56"/>
        <v>0</v>
      </c>
      <c r="K480">
        <f t="shared" si="57"/>
        <v>0</v>
      </c>
      <c r="L480" s="1213"/>
      <c r="N480" s="1214" t="str">
        <f t="shared" si="60"/>
        <v xml:space="preserve"> </v>
      </c>
      <c r="O480" s="1215" t="str">
        <f t="shared" si="61"/>
        <v xml:space="preserve"> </v>
      </c>
      <c r="Q480">
        <f t="shared" si="62"/>
        <v>0</v>
      </c>
      <c r="R480">
        <f t="shared" si="63"/>
        <v>0</v>
      </c>
    </row>
    <row r="481" spans="2:18" x14ac:dyDescent="0.2">
      <c r="B481" s="1209"/>
      <c r="C481" s="1210"/>
      <c r="D481" s="939"/>
      <c r="E481" s="1211" t="str">
        <f t="shared" si="58"/>
        <v xml:space="preserve"> </v>
      </c>
      <c r="G481" s="1212" t="str">
        <f t="shared" si="59"/>
        <v xml:space="preserve"> </v>
      </c>
      <c r="H481" s="1201"/>
      <c r="I481">
        <f t="shared" si="56"/>
        <v>0</v>
      </c>
      <c r="K481">
        <f t="shared" si="57"/>
        <v>0</v>
      </c>
      <c r="L481" s="1213"/>
      <c r="N481" s="1214" t="str">
        <f t="shared" si="60"/>
        <v xml:space="preserve"> </v>
      </c>
      <c r="O481" s="1215" t="str">
        <f t="shared" si="61"/>
        <v xml:space="preserve"> </v>
      </c>
      <c r="Q481">
        <f t="shared" si="62"/>
        <v>0</v>
      </c>
      <c r="R481">
        <f t="shared" si="63"/>
        <v>0</v>
      </c>
    </row>
    <row r="482" spans="2:18" x14ac:dyDescent="0.2">
      <c r="B482" s="1209"/>
      <c r="C482" s="1210"/>
      <c r="D482" s="939"/>
      <c r="E482" s="1211" t="str">
        <f t="shared" si="58"/>
        <v xml:space="preserve"> </v>
      </c>
      <c r="G482" s="1212" t="str">
        <f t="shared" si="59"/>
        <v xml:space="preserve"> </v>
      </c>
      <c r="H482" s="1201"/>
      <c r="I482">
        <f t="shared" si="56"/>
        <v>0</v>
      </c>
      <c r="K482">
        <f t="shared" si="57"/>
        <v>0</v>
      </c>
      <c r="L482" s="1213"/>
      <c r="N482" s="1214" t="str">
        <f t="shared" si="60"/>
        <v xml:space="preserve"> </v>
      </c>
      <c r="O482" s="1215" t="str">
        <f t="shared" si="61"/>
        <v xml:space="preserve"> </v>
      </c>
      <c r="Q482">
        <f t="shared" si="62"/>
        <v>0</v>
      </c>
      <c r="R482">
        <f t="shared" si="63"/>
        <v>0</v>
      </c>
    </row>
    <row r="483" spans="2:18" x14ac:dyDescent="0.2">
      <c r="B483" s="1209"/>
      <c r="C483" s="1210"/>
      <c r="D483" s="939"/>
      <c r="E483" s="1211" t="str">
        <f t="shared" si="58"/>
        <v xml:space="preserve"> </v>
      </c>
      <c r="G483" s="1212" t="str">
        <f t="shared" si="59"/>
        <v xml:space="preserve"> </v>
      </c>
      <c r="H483" s="1201"/>
      <c r="I483">
        <f t="shared" si="56"/>
        <v>0</v>
      </c>
      <c r="K483">
        <f t="shared" si="57"/>
        <v>0</v>
      </c>
      <c r="L483" s="1213"/>
      <c r="N483" s="1214" t="str">
        <f t="shared" si="60"/>
        <v xml:space="preserve"> </v>
      </c>
      <c r="O483" s="1215" t="str">
        <f t="shared" si="61"/>
        <v xml:space="preserve"> </v>
      </c>
      <c r="Q483">
        <f t="shared" si="62"/>
        <v>0</v>
      </c>
      <c r="R483">
        <f t="shared" si="63"/>
        <v>0</v>
      </c>
    </row>
    <row r="484" spans="2:18" x14ac:dyDescent="0.2">
      <c r="B484" s="1209"/>
      <c r="C484" s="1210"/>
      <c r="D484" s="939"/>
      <c r="E484" s="1211" t="str">
        <f t="shared" si="58"/>
        <v xml:space="preserve"> </v>
      </c>
      <c r="G484" s="1212" t="str">
        <f t="shared" si="59"/>
        <v xml:space="preserve"> </v>
      </c>
      <c r="H484" s="1201"/>
      <c r="I484">
        <f t="shared" si="56"/>
        <v>0</v>
      </c>
      <c r="K484">
        <f t="shared" si="57"/>
        <v>0</v>
      </c>
      <c r="L484" s="1213"/>
      <c r="N484" s="1214" t="str">
        <f t="shared" si="60"/>
        <v xml:space="preserve"> </v>
      </c>
      <c r="O484" s="1215" t="str">
        <f t="shared" si="61"/>
        <v xml:space="preserve"> </v>
      </c>
      <c r="Q484">
        <f t="shared" si="62"/>
        <v>0</v>
      </c>
      <c r="R484">
        <f t="shared" si="63"/>
        <v>0</v>
      </c>
    </row>
    <row r="485" spans="2:18" x14ac:dyDescent="0.2">
      <c r="B485" s="1209"/>
      <c r="C485" s="1210"/>
      <c r="D485" s="939"/>
      <c r="E485" s="1211" t="str">
        <f t="shared" si="58"/>
        <v xml:space="preserve"> </v>
      </c>
      <c r="G485" s="1212" t="str">
        <f t="shared" si="59"/>
        <v xml:space="preserve"> </v>
      </c>
      <c r="H485" s="1201"/>
      <c r="I485">
        <f t="shared" si="56"/>
        <v>0</v>
      </c>
      <c r="K485">
        <f t="shared" si="57"/>
        <v>0</v>
      </c>
      <c r="L485" s="1213"/>
      <c r="N485" s="1214" t="str">
        <f t="shared" si="60"/>
        <v xml:space="preserve"> </v>
      </c>
      <c r="O485" s="1215" t="str">
        <f t="shared" si="61"/>
        <v xml:space="preserve"> </v>
      </c>
      <c r="Q485">
        <f t="shared" si="62"/>
        <v>0</v>
      </c>
      <c r="R485">
        <f t="shared" si="63"/>
        <v>0</v>
      </c>
    </row>
    <row r="486" spans="2:18" x14ac:dyDescent="0.2">
      <c r="B486" s="1209"/>
      <c r="C486" s="1210"/>
      <c r="D486" s="939"/>
      <c r="E486" s="1211" t="str">
        <f t="shared" si="58"/>
        <v xml:space="preserve"> </v>
      </c>
      <c r="G486" s="1212" t="str">
        <f t="shared" si="59"/>
        <v xml:space="preserve"> </v>
      </c>
      <c r="H486" s="1201"/>
      <c r="I486">
        <f t="shared" si="56"/>
        <v>0</v>
      </c>
      <c r="K486">
        <f t="shared" si="57"/>
        <v>0</v>
      </c>
      <c r="L486" s="1213"/>
      <c r="N486" s="1214" t="str">
        <f t="shared" si="60"/>
        <v xml:space="preserve"> </v>
      </c>
      <c r="O486" s="1215" t="str">
        <f t="shared" si="61"/>
        <v xml:space="preserve"> </v>
      </c>
      <c r="Q486">
        <f t="shared" si="62"/>
        <v>0</v>
      </c>
      <c r="R486">
        <f t="shared" si="63"/>
        <v>0</v>
      </c>
    </row>
    <row r="487" spans="2:18" x14ac:dyDescent="0.2">
      <c r="B487" s="1209"/>
      <c r="C487" s="1210"/>
      <c r="D487" s="939"/>
      <c r="E487" s="1211" t="str">
        <f t="shared" si="58"/>
        <v xml:space="preserve"> </v>
      </c>
      <c r="G487" s="1212" t="str">
        <f t="shared" si="59"/>
        <v xml:space="preserve"> </v>
      </c>
      <c r="H487" s="1201"/>
      <c r="I487">
        <f t="shared" si="56"/>
        <v>0</v>
      </c>
      <c r="K487">
        <f t="shared" si="57"/>
        <v>0</v>
      </c>
      <c r="L487" s="1213"/>
      <c r="N487" s="1214" t="str">
        <f t="shared" si="60"/>
        <v xml:space="preserve"> </v>
      </c>
      <c r="O487" s="1215" t="str">
        <f t="shared" si="61"/>
        <v xml:space="preserve"> </v>
      </c>
      <c r="Q487">
        <f t="shared" si="62"/>
        <v>0</v>
      </c>
      <c r="R487">
        <f t="shared" si="63"/>
        <v>0</v>
      </c>
    </row>
    <row r="488" spans="2:18" x14ac:dyDescent="0.2">
      <c r="B488" s="1209"/>
      <c r="C488" s="1210"/>
      <c r="D488" s="939"/>
      <c r="E488" s="1211" t="str">
        <f t="shared" si="58"/>
        <v xml:space="preserve"> </v>
      </c>
      <c r="G488" s="1212" t="str">
        <f t="shared" si="59"/>
        <v xml:space="preserve"> </v>
      </c>
      <c r="H488" s="1201"/>
      <c r="I488">
        <f t="shared" si="56"/>
        <v>0</v>
      </c>
      <c r="K488">
        <f t="shared" si="57"/>
        <v>0</v>
      </c>
      <c r="L488" s="1213"/>
      <c r="N488" s="1214" t="str">
        <f t="shared" si="60"/>
        <v xml:space="preserve"> </v>
      </c>
      <c r="O488" s="1215" t="str">
        <f t="shared" si="61"/>
        <v xml:space="preserve"> </v>
      </c>
      <c r="Q488">
        <f t="shared" si="62"/>
        <v>0</v>
      </c>
      <c r="R488">
        <f t="shared" si="63"/>
        <v>0</v>
      </c>
    </row>
    <row r="489" spans="2:18" x14ac:dyDescent="0.2">
      <c r="B489" s="1209"/>
      <c r="C489" s="1210"/>
      <c r="D489" s="939"/>
      <c r="E489" s="1211" t="str">
        <f t="shared" si="58"/>
        <v xml:space="preserve"> </v>
      </c>
      <c r="G489" s="1212" t="str">
        <f t="shared" si="59"/>
        <v xml:space="preserve"> </v>
      </c>
      <c r="H489" s="1201"/>
      <c r="I489">
        <f t="shared" si="56"/>
        <v>0</v>
      </c>
      <c r="K489">
        <f t="shared" si="57"/>
        <v>0</v>
      </c>
      <c r="L489" s="1213"/>
      <c r="N489" s="1214" t="str">
        <f t="shared" si="60"/>
        <v xml:space="preserve"> </v>
      </c>
      <c r="O489" s="1215" t="str">
        <f t="shared" si="61"/>
        <v xml:space="preserve"> </v>
      </c>
      <c r="Q489">
        <f t="shared" si="62"/>
        <v>0</v>
      </c>
      <c r="R489">
        <f t="shared" si="63"/>
        <v>0</v>
      </c>
    </row>
    <row r="490" spans="2:18" x14ac:dyDescent="0.2">
      <c r="B490" s="1209"/>
      <c r="C490" s="1210"/>
      <c r="D490" s="939"/>
      <c r="E490" s="1211" t="str">
        <f t="shared" si="58"/>
        <v xml:space="preserve"> </v>
      </c>
      <c r="G490" s="1212" t="str">
        <f t="shared" si="59"/>
        <v xml:space="preserve"> </v>
      </c>
      <c r="H490" s="1201"/>
      <c r="I490">
        <f t="shared" si="56"/>
        <v>0</v>
      </c>
      <c r="K490">
        <f t="shared" si="57"/>
        <v>0</v>
      </c>
      <c r="L490" s="1213"/>
      <c r="N490" s="1214" t="str">
        <f t="shared" si="60"/>
        <v xml:space="preserve"> </v>
      </c>
      <c r="O490" s="1215" t="str">
        <f t="shared" si="61"/>
        <v xml:space="preserve"> </v>
      </c>
      <c r="Q490">
        <f t="shared" si="62"/>
        <v>0</v>
      </c>
      <c r="R490">
        <f t="shared" si="63"/>
        <v>0</v>
      </c>
    </row>
    <row r="491" spans="2:18" x14ac:dyDescent="0.2">
      <c r="B491" s="1209"/>
      <c r="C491" s="1210"/>
      <c r="D491" s="939"/>
      <c r="E491" s="1211" t="str">
        <f t="shared" si="58"/>
        <v xml:space="preserve"> </v>
      </c>
      <c r="G491" s="1212" t="str">
        <f t="shared" si="59"/>
        <v xml:space="preserve"> </v>
      </c>
      <c r="H491" s="1201"/>
      <c r="I491">
        <f t="shared" si="56"/>
        <v>0</v>
      </c>
      <c r="K491">
        <f t="shared" si="57"/>
        <v>0</v>
      </c>
      <c r="L491" s="1213"/>
      <c r="N491" s="1214" t="str">
        <f t="shared" si="60"/>
        <v xml:space="preserve"> </v>
      </c>
      <c r="O491" s="1215" t="str">
        <f t="shared" si="61"/>
        <v xml:space="preserve"> </v>
      </c>
      <c r="Q491">
        <f t="shared" si="62"/>
        <v>0</v>
      </c>
      <c r="R491">
        <f t="shared" si="63"/>
        <v>0</v>
      </c>
    </row>
    <row r="492" spans="2:18" x14ac:dyDescent="0.2">
      <c r="B492" s="1209"/>
      <c r="C492" s="1210"/>
      <c r="D492" s="939"/>
      <c r="E492" s="1211" t="str">
        <f t="shared" si="58"/>
        <v xml:space="preserve"> </v>
      </c>
      <c r="G492" s="1212" t="str">
        <f t="shared" si="59"/>
        <v xml:space="preserve"> </v>
      </c>
      <c r="H492" s="1201"/>
      <c r="I492">
        <f t="shared" si="56"/>
        <v>0</v>
      </c>
      <c r="K492">
        <f t="shared" si="57"/>
        <v>0</v>
      </c>
      <c r="L492" s="1213"/>
      <c r="N492" s="1214" t="str">
        <f t="shared" si="60"/>
        <v xml:space="preserve"> </v>
      </c>
      <c r="O492" s="1215" t="str">
        <f t="shared" si="61"/>
        <v xml:space="preserve"> </v>
      </c>
      <c r="Q492">
        <f t="shared" si="62"/>
        <v>0</v>
      </c>
      <c r="R492">
        <f t="shared" si="63"/>
        <v>0</v>
      </c>
    </row>
    <row r="493" spans="2:18" x14ac:dyDescent="0.2">
      <c r="B493" s="1209"/>
      <c r="C493" s="1210"/>
      <c r="D493" s="939"/>
      <c r="E493" s="1211" t="str">
        <f t="shared" si="58"/>
        <v xml:space="preserve"> </v>
      </c>
      <c r="G493" s="1212" t="str">
        <f t="shared" si="59"/>
        <v xml:space="preserve"> </v>
      </c>
      <c r="H493" s="1201"/>
      <c r="I493">
        <f t="shared" si="56"/>
        <v>0</v>
      </c>
      <c r="K493">
        <f t="shared" si="57"/>
        <v>0</v>
      </c>
      <c r="L493" s="1213"/>
      <c r="N493" s="1214" t="str">
        <f t="shared" si="60"/>
        <v xml:space="preserve"> </v>
      </c>
      <c r="O493" s="1215" t="str">
        <f t="shared" si="61"/>
        <v xml:space="preserve"> </v>
      </c>
      <c r="Q493">
        <f t="shared" si="62"/>
        <v>0</v>
      </c>
      <c r="R493">
        <f t="shared" si="63"/>
        <v>0</v>
      </c>
    </row>
    <row r="494" spans="2:18" x14ac:dyDescent="0.2">
      <c r="B494" s="1209"/>
      <c r="C494" s="1210"/>
      <c r="D494" s="939"/>
      <c r="E494" s="1211" t="str">
        <f t="shared" si="58"/>
        <v xml:space="preserve"> </v>
      </c>
      <c r="G494" s="1212" t="str">
        <f t="shared" si="59"/>
        <v xml:space="preserve"> </v>
      </c>
      <c r="H494" s="1201"/>
      <c r="I494">
        <f t="shared" si="56"/>
        <v>0</v>
      </c>
      <c r="K494">
        <f t="shared" si="57"/>
        <v>0</v>
      </c>
      <c r="L494" s="1213"/>
      <c r="N494" s="1214" t="str">
        <f t="shared" si="60"/>
        <v xml:space="preserve"> </v>
      </c>
      <c r="O494" s="1215" t="str">
        <f t="shared" si="61"/>
        <v xml:space="preserve"> </v>
      </c>
      <c r="Q494">
        <f t="shared" si="62"/>
        <v>0</v>
      </c>
      <c r="R494">
        <f t="shared" si="63"/>
        <v>0</v>
      </c>
    </row>
    <row r="495" spans="2:18" x14ac:dyDescent="0.2">
      <c r="B495" s="1209"/>
      <c r="C495" s="1210"/>
      <c r="D495" s="939"/>
      <c r="E495" s="1211" t="str">
        <f t="shared" si="58"/>
        <v xml:space="preserve"> </v>
      </c>
      <c r="G495" s="1212" t="str">
        <f t="shared" si="59"/>
        <v xml:space="preserve"> </v>
      </c>
      <c r="H495" s="1201"/>
      <c r="I495">
        <f t="shared" si="56"/>
        <v>0</v>
      </c>
      <c r="K495">
        <f t="shared" si="57"/>
        <v>0</v>
      </c>
      <c r="L495" s="1213"/>
      <c r="N495" s="1214" t="str">
        <f t="shared" si="60"/>
        <v xml:space="preserve"> </v>
      </c>
      <c r="O495" s="1215" t="str">
        <f t="shared" si="61"/>
        <v xml:space="preserve"> </v>
      </c>
      <c r="Q495">
        <f t="shared" si="62"/>
        <v>0</v>
      </c>
      <c r="R495">
        <f t="shared" si="63"/>
        <v>0</v>
      </c>
    </row>
    <row r="496" spans="2:18" x14ac:dyDescent="0.2">
      <c r="B496" s="1209"/>
      <c r="C496" s="1210"/>
      <c r="D496" s="939"/>
      <c r="E496" s="1211" t="str">
        <f t="shared" si="58"/>
        <v xml:space="preserve"> </v>
      </c>
      <c r="G496" s="1212" t="str">
        <f t="shared" si="59"/>
        <v xml:space="preserve"> </v>
      </c>
      <c r="H496" s="1201"/>
      <c r="I496">
        <f t="shared" si="56"/>
        <v>0</v>
      </c>
      <c r="K496">
        <f t="shared" si="57"/>
        <v>0</v>
      </c>
      <c r="L496" s="1213"/>
      <c r="N496" s="1214" t="str">
        <f t="shared" si="60"/>
        <v xml:space="preserve"> </v>
      </c>
      <c r="O496" s="1215" t="str">
        <f t="shared" si="61"/>
        <v xml:space="preserve"> </v>
      </c>
      <c r="Q496">
        <f t="shared" si="62"/>
        <v>0</v>
      </c>
      <c r="R496">
        <f t="shared" si="63"/>
        <v>0</v>
      </c>
    </row>
    <row r="497" spans="2:18" x14ac:dyDescent="0.2">
      <c r="B497" s="1209"/>
      <c r="C497" s="1210"/>
      <c r="D497" s="939"/>
      <c r="E497" s="1211" t="str">
        <f t="shared" si="58"/>
        <v xml:space="preserve"> </v>
      </c>
      <c r="G497" s="1212" t="str">
        <f t="shared" si="59"/>
        <v xml:space="preserve"> </v>
      </c>
      <c r="H497" s="1201"/>
      <c r="I497">
        <f t="shared" si="56"/>
        <v>0</v>
      </c>
      <c r="K497">
        <f t="shared" si="57"/>
        <v>0</v>
      </c>
      <c r="L497" s="1213"/>
      <c r="N497" s="1214" t="str">
        <f t="shared" si="60"/>
        <v xml:space="preserve"> </v>
      </c>
      <c r="O497" s="1215" t="str">
        <f t="shared" si="61"/>
        <v xml:space="preserve"> </v>
      </c>
      <c r="Q497">
        <f t="shared" si="62"/>
        <v>0</v>
      </c>
      <c r="R497">
        <f t="shared" si="63"/>
        <v>0</v>
      </c>
    </row>
    <row r="498" spans="2:18" x14ac:dyDescent="0.2">
      <c r="B498" s="1209"/>
      <c r="C498" s="1210"/>
      <c r="D498" s="939"/>
      <c r="E498" s="1211" t="str">
        <f t="shared" si="58"/>
        <v xml:space="preserve"> </v>
      </c>
      <c r="G498" s="1212" t="str">
        <f t="shared" si="59"/>
        <v xml:space="preserve"> </v>
      </c>
      <c r="H498" s="1201"/>
      <c r="I498">
        <f t="shared" si="56"/>
        <v>0</v>
      </c>
      <c r="K498">
        <f t="shared" si="57"/>
        <v>0</v>
      </c>
      <c r="L498" s="1213"/>
      <c r="N498" s="1214" t="str">
        <f t="shared" si="60"/>
        <v xml:space="preserve"> </v>
      </c>
      <c r="O498" s="1215" t="str">
        <f t="shared" si="61"/>
        <v xml:space="preserve"> </v>
      </c>
      <c r="Q498">
        <f t="shared" si="62"/>
        <v>0</v>
      </c>
      <c r="R498">
        <f t="shared" si="63"/>
        <v>0</v>
      </c>
    </row>
    <row r="499" spans="2:18" x14ac:dyDescent="0.2">
      <c r="B499" s="1209"/>
      <c r="C499" s="1210"/>
      <c r="D499" s="939"/>
      <c r="E499" s="1211" t="str">
        <f t="shared" si="58"/>
        <v xml:space="preserve"> </v>
      </c>
      <c r="G499" s="1212" t="str">
        <f t="shared" si="59"/>
        <v xml:space="preserve"> </v>
      </c>
      <c r="H499" s="1201"/>
      <c r="I499">
        <f t="shared" si="56"/>
        <v>0</v>
      </c>
      <c r="K499">
        <f t="shared" si="57"/>
        <v>0</v>
      </c>
      <c r="L499" s="1213"/>
      <c r="N499" s="1214" t="str">
        <f t="shared" si="60"/>
        <v xml:space="preserve"> </v>
      </c>
      <c r="O499" s="1215" t="str">
        <f t="shared" si="61"/>
        <v xml:space="preserve"> </v>
      </c>
      <c r="Q499">
        <f t="shared" si="62"/>
        <v>0</v>
      </c>
      <c r="R499">
        <f t="shared" si="63"/>
        <v>0</v>
      </c>
    </row>
    <row r="500" spans="2:18" x14ac:dyDescent="0.2">
      <c r="B500" s="1209"/>
      <c r="C500" s="1210"/>
      <c r="D500" s="939"/>
      <c r="E500" s="1211" t="str">
        <f t="shared" si="58"/>
        <v xml:space="preserve"> </v>
      </c>
      <c r="G500" s="1212" t="str">
        <f t="shared" si="59"/>
        <v xml:space="preserve"> </v>
      </c>
      <c r="H500" s="1201"/>
      <c r="I500">
        <f t="shared" si="56"/>
        <v>0</v>
      </c>
      <c r="K500">
        <f t="shared" si="57"/>
        <v>0</v>
      </c>
      <c r="L500" s="1213"/>
      <c r="N500" s="1214" t="str">
        <f t="shared" si="60"/>
        <v xml:space="preserve"> </v>
      </c>
      <c r="O500" s="1215" t="str">
        <f t="shared" si="61"/>
        <v xml:space="preserve"> </v>
      </c>
      <c r="Q500">
        <f t="shared" si="62"/>
        <v>0</v>
      </c>
      <c r="R500">
        <f t="shared" si="63"/>
        <v>0</v>
      </c>
    </row>
    <row r="501" spans="2:18" x14ac:dyDescent="0.2">
      <c r="B501" s="1209"/>
      <c r="C501" s="1210"/>
      <c r="D501" s="939"/>
      <c r="E501" s="1211" t="str">
        <f t="shared" si="58"/>
        <v xml:space="preserve"> </v>
      </c>
      <c r="G501" s="1212" t="str">
        <f t="shared" si="59"/>
        <v xml:space="preserve"> </v>
      </c>
      <c r="H501" s="1201"/>
      <c r="I501">
        <f t="shared" si="56"/>
        <v>0</v>
      </c>
      <c r="K501">
        <f t="shared" si="57"/>
        <v>0</v>
      </c>
      <c r="L501" s="1213"/>
      <c r="N501" s="1214" t="str">
        <f t="shared" si="60"/>
        <v xml:space="preserve"> </v>
      </c>
      <c r="O501" s="1215" t="str">
        <f t="shared" si="61"/>
        <v xml:space="preserve"> </v>
      </c>
      <c r="Q501">
        <f t="shared" si="62"/>
        <v>0</v>
      </c>
      <c r="R501">
        <f t="shared" si="63"/>
        <v>0</v>
      </c>
    </row>
    <row r="502" spans="2:18" x14ac:dyDescent="0.2">
      <c r="B502" s="1209"/>
      <c r="C502" s="1210"/>
      <c r="D502" s="939"/>
      <c r="E502" s="1211" t="str">
        <f t="shared" si="58"/>
        <v xml:space="preserve"> </v>
      </c>
      <c r="G502" s="1212" t="str">
        <f t="shared" si="59"/>
        <v xml:space="preserve"> </v>
      </c>
      <c r="H502" s="1201"/>
      <c r="I502">
        <f t="shared" si="56"/>
        <v>0</v>
      </c>
      <c r="K502">
        <f t="shared" si="57"/>
        <v>0</v>
      </c>
      <c r="L502" s="1213"/>
      <c r="N502" s="1214" t="str">
        <f t="shared" si="60"/>
        <v xml:space="preserve"> </v>
      </c>
      <c r="O502" s="1215" t="str">
        <f t="shared" si="61"/>
        <v xml:space="preserve"> </v>
      </c>
      <c r="Q502">
        <f t="shared" si="62"/>
        <v>0</v>
      </c>
      <c r="R502">
        <f t="shared" si="63"/>
        <v>0</v>
      </c>
    </row>
    <row r="503" spans="2:18" x14ac:dyDescent="0.2">
      <c r="B503" s="1209"/>
      <c r="C503" s="1210"/>
      <c r="D503" s="939"/>
      <c r="E503" s="1211" t="str">
        <f t="shared" si="58"/>
        <v xml:space="preserve"> </v>
      </c>
      <c r="G503" s="1212" t="str">
        <f t="shared" si="59"/>
        <v xml:space="preserve"> </v>
      </c>
      <c r="H503" s="1201"/>
      <c r="I503">
        <f t="shared" si="56"/>
        <v>0</v>
      </c>
      <c r="K503">
        <f t="shared" si="57"/>
        <v>0</v>
      </c>
      <c r="L503" s="1213"/>
      <c r="N503" s="1214" t="str">
        <f t="shared" si="60"/>
        <v xml:space="preserve"> </v>
      </c>
      <c r="O503" s="1215" t="str">
        <f t="shared" si="61"/>
        <v xml:space="preserve"> </v>
      </c>
      <c r="Q503">
        <f t="shared" si="62"/>
        <v>0</v>
      </c>
      <c r="R503">
        <f t="shared" si="63"/>
        <v>0</v>
      </c>
    </row>
    <row r="504" spans="2:18" x14ac:dyDescent="0.2">
      <c r="B504" s="1209"/>
      <c r="C504" s="1210"/>
      <c r="D504" s="939"/>
      <c r="E504" s="1211" t="str">
        <f t="shared" si="58"/>
        <v xml:space="preserve"> </v>
      </c>
      <c r="G504" s="1212" t="str">
        <f t="shared" si="59"/>
        <v xml:space="preserve"> </v>
      </c>
      <c r="H504" s="1201"/>
      <c r="I504">
        <f t="shared" si="56"/>
        <v>0</v>
      </c>
      <c r="K504">
        <f t="shared" si="57"/>
        <v>0</v>
      </c>
      <c r="L504" s="1213"/>
      <c r="N504" s="1214" t="str">
        <f t="shared" si="60"/>
        <v xml:space="preserve"> </v>
      </c>
      <c r="O504" s="1215" t="str">
        <f t="shared" si="61"/>
        <v xml:space="preserve"> </v>
      </c>
      <c r="Q504">
        <f t="shared" si="62"/>
        <v>0</v>
      </c>
      <c r="R504">
        <f t="shared" si="63"/>
        <v>0</v>
      </c>
    </row>
    <row r="505" spans="2:18" x14ac:dyDescent="0.2">
      <c r="B505" s="1209"/>
      <c r="C505" s="1210"/>
      <c r="D505" s="939"/>
      <c r="E505" s="1211" t="str">
        <f t="shared" si="58"/>
        <v xml:space="preserve"> </v>
      </c>
      <c r="G505" s="1212" t="str">
        <f t="shared" si="59"/>
        <v xml:space="preserve"> </v>
      </c>
      <c r="H505" s="1201"/>
      <c r="I505">
        <f t="shared" si="56"/>
        <v>0</v>
      </c>
      <c r="K505">
        <f t="shared" si="57"/>
        <v>0</v>
      </c>
      <c r="L505" s="1213"/>
      <c r="N505" s="1214" t="str">
        <f t="shared" si="60"/>
        <v xml:space="preserve"> </v>
      </c>
      <c r="O505" s="1215" t="str">
        <f t="shared" si="61"/>
        <v xml:space="preserve"> </v>
      </c>
      <c r="Q505">
        <f t="shared" si="62"/>
        <v>0</v>
      </c>
      <c r="R505">
        <f t="shared" si="63"/>
        <v>0</v>
      </c>
    </row>
    <row r="506" spans="2:18" x14ac:dyDescent="0.2">
      <c r="B506" s="1209"/>
      <c r="C506" s="1210"/>
      <c r="D506" s="939"/>
      <c r="E506" s="1211" t="str">
        <f t="shared" si="58"/>
        <v xml:space="preserve"> </v>
      </c>
      <c r="G506" s="1212" t="str">
        <f t="shared" si="59"/>
        <v xml:space="preserve"> </v>
      </c>
      <c r="H506" s="1201"/>
      <c r="I506">
        <f t="shared" si="56"/>
        <v>0</v>
      </c>
      <c r="K506">
        <f t="shared" si="57"/>
        <v>0</v>
      </c>
      <c r="L506" s="1213"/>
      <c r="N506" s="1214" t="str">
        <f t="shared" si="60"/>
        <v xml:space="preserve"> </v>
      </c>
      <c r="O506" s="1215" t="str">
        <f t="shared" si="61"/>
        <v xml:space="preserve"> </v>
      </c>
      <c r="Q506">
        <f t="shared" si="62"/>
        <v>0</v>
      </c>
      <c r="R506">
        <f t="shared" si="63"/>
        <v>0</v>
      </c>
    </row>
    <row r="507" spans="2:18" x14ac:dyDescent="0.2">
      <c r="B507" s="1209"/>
      <c r="C507" s="1210"/>
      <c r="D507" s="939"/>
      <c r="E507" s="1211" t="str">
        <f t="shared" si="58"/>
        <v xml:space="preserve"> </v>
      </c>
      <c r="G507" s="1212" t="str">
        <f t="shared" si="59"/>
        <v xml:space="preserve"> </v>
      </c>
      <c r="H507" s="1201"/>
      <c r="I507">
        <f t="shared" si="56"/>
        <v>0</v>
      </c>
      <c r="K507">
        <f t="shared" si="57"/>
        <v>0</v>
      </c>
      <c r="L507" s="1213"/>
      <c r="N507" s="1214" t="str">
        <f t="shared" si="60"/>
        <v xml:space="preserve"> </v>
      </c>
      <c r="O507" s="1215" t="str">
        <f t="shared" si="61"/>
        <v xml:space="preserve"> </v>
      </c>
      <c r="Q507">
        <f t="shared" si="62"/>
        <v>0</v>
      </c>
      <c r="R507">
        <f t="shared" si="63"/>
        <v>0</v>
      </c>
    </row>
    <row r="508" spans="2:18" x14ac:dyDescent="0.2">
      <c r="B508" s="1209"/>
      <c r="C508" s="1210"/>
      <c r="D508" s="939"/>
      <c r="E508" s="1211" t="str">
        <f t="shared" si="58"/>
        <v xml:space="preserve"> </v>
      </c>
      <c r="G508" s="1212" t="str">
        <f t="shared" si="59"/>
        <v xml:space="preserve"> </v>
      </c>
      <c r="H508" s="1201"/>
      <c r="I508">
        <f t="shared" si="56"/>
        <v>0</v>
      </c>
      <c r="K508">
        <f t="shared" si="57"/>
        <v>0</v>
      </c>
      <c r="L508" s="1213"/>
      <c r="N508" s="1214" t="str">
        <f t="shared" si="60"/>
        <v xml:space="preserve"> </v>
      </c>
      <c r="O508" s="1215" t="str">
        <f t="shared" si="61"/>
        <v xml:space="preserve"> </v>
      </c>
      <c r="Q508">
        <f t="shared" si="62"/>
        <v>0</v>
      </c>
      <c r="R508">
        <f t="shared" si="63"/>
        <v>0</v>
      </c>
    </row>
    <row r="509" spans="2:18" x14ac:dyDescent="0.2">
      <c r="B509" s="1209"/>
      <c r="C509" s="1210"/>
      <c r="D509" s="939"/>
      <c r="E509" s="1211" t="str">
        <f t="shared" si="58"/>
        <v xml:space="preserve"> </v>
      </c>
      <c r="G509" s="1212" t="str">
        <f t="shared" si="59"/>
        <v xml:space="preserve"> </v>
      </c>
      <c r="H509" s="1201"/>
      <c r="I509">
        <f t="shared" si="56"/>
        <v>0</v>
      </c>
      <c r="K509">
        <f t="shared" si="57"/>
        <v>0</v>
      </c>
      <c r="L509" s="1213"/>
      <c r="N509" s="1214" t="str">
        <f t="shared" si="60"/>
        <v xml:space="preserve"> </v>
      </c>
      <c r="O509" s="1215" t="str">
        <f t="shared" si="61"/>
        <v xml:space="preserve"> </v>
      </c>
      <c r="Q509">
        <f t="shared" si="62"/>
        <v>0</v>
      </c>
      <c r="R509">
        <f t="shared" si="63"/>
        <v>0</v>
      </c>
    </row>
    <row r="510" spans="2:18" x14ac:dyDescent="0.2">
      <c r="B510" s="1209"/>
      <c r="C510" s="1210"/>
      <c r="D510" s="939"/>
      <c r="E510" s="1211" t="str">
        <f t="shared" si="58"/>
        <v xml:space="preserve"> </v>
      </c>
      <c r="G510" s="1212" t="str">
        <f t="shared" si="59"/>
        <v xml:space="preserve"> </v>
      </c>
      <c r="H510" s="1201"/>
      <c r="I510">
        <f t="shared" si="56"/>
        <v>0</v>
      </c>
      <c r="K510">
        <f t="shared" si="57"/>
        <v>0</v>
      </c>
      <c r="L510" s="1213"/>
      <c r="N510" s="1214" t="str">
        <f t="shared" si="60"/>
        <v xml:space="preserve"> </v>
      </c>
      <c r="O510" s="1215" t="str">
        <f t="shared" si="61"/>
        <v xml:space="preserve"> </v>
      </c>
      <c r="Q510">
        <f t="shared" si="62"/>
        <v>0</v>
      </c>
      <c r="R510">
        <f t="shared" si="63"/>
        <v>0</v>
      </c>
    </row>
    <row r="511" spans="2:18" x14ac:dyDescent="0.2">
      <c r="B511" s="1209"/>
      <c r="C511" s="1210"/>
      <c r="D511" s="939"/>
      <c r="E511" s="1211" t="str">
        <f t="shared" si="58"/>
        <v xml:space="preserve"> </v>
      </c>
      <c r="G511" s="1212" t="str">
        <f t="shared" si="59"/>
        <v xml:space="preserve"> </v>
      </c>
      <c r="H511" s="1201"/>
      <c r="I511">
        <f t="shared" si="56"/>
        <v>0</v>
      </c>
      <c r="K511">
        <f t="shared" si="57"/>
        <v>0</v>
      </c>
      <c r="L511" s="1213"/>
      <c r="N511" s="1214" t="str">
        <f t="shared" si="60"/>
        <v xml:space="preserve"> </v>
      </c>
      <c r="O511" s="1215" t="str">
        <f t="shared" si="61"/>
        <v xml:space="preserve"> </v>
      </c>
      <c r="Q511">
        <f t="shared" si="62"/>
        <v>0</v>
      </c>
      <c r="R511">
        <f t="shared" si="63"/>
        <v>0</v>
      </c>
    </row>
    <row r="512" spans="2:18" x14ac:dyDescent="0.2">
      <c r="B512" s="1209"/>
      <c r="C512" s="1210"/>
      <c r="D512" s="939"/>
      <c r="E512" s="1211" t="str">
        <f t="shared" si="58"/>
        <v xml:space="preserve"> </v>
      </c>
      <c r="G512" s="1212" t="str">
        <f t="shared" si="59"/>
        <v xml:space="preserve"> </v>
      </c>
      <c r="H512" s="1201"/>
      <c r="I512">
        <f t="shared" si="56"/>
        <v>0</v>
      </c>
      <c r="K512">
        <f t="shared" si="57"/>
        <v>0</v>
      </c>
      <c r="L512" s="1213"/>
      <c r="N512" s="1214" t="str">
        <f t="shared" si="60"/>
        <v xml:space="preserve"> </v>
      </c>
      <c r="O512" s="1215" t="str">
        <f t="shared" si="61"/>
        <v xml:space="preserve"> </v>
      </c>
      <c r="Q512">
        <f t="shared" si="62"/>
        <v>0</v>
      </c>
      <c r="R512">
        <f t="shared" si="63"/>
        <v>0</v>
      </c>
    </row>
    <row r="513" spans="2:18" x14ac:dyDescent="0.2">
      <c r="B513" s="1209"/>
      <c r="C513" s="1210"/>
      <c r="D513" s="939"/>
      <c r="E513" s="1211" t="str">
        <f t="shared" si="58"/>
        <v xml:space="preserve"> </v>
      </c>
      <c r="G513" s="1212" t="str">
        <f t="shared" si="59"/>
        <v xml:space="preserve"> </v>
      </c>
      <c r="H513" s="1201"/>
      <c r="I513">
        <f t="shared" si="56"/>
        <v>0</v>
      </c>
      <c r="K513">
        <f t="shared" si="57"/>
        <v>0</v>
      </c>
      <c r="L513" s="1213"/>
      <c r="N513" s="1214" t="str">
        <f t="shared" si="60"/>
        <v xml:space="preserve"> </v>
      </c>
      <c r="O513" s="1215" t="str">
        <f t="shared" si="61"/>
        <v xml:space="preserve"> </v>
      </c>
      <c r="Q513">
        <f t="shared" si="62"/>
        <v>0</v>
      </c>
      <c r="R513">
        <f t="shared" si="63"/>
        <v>0</v>
      </c>
    </row>
    <row r="514" spans="2:18" x14ac:dyDescent="0.2">
      <c r="B514" s="1209"/>
      <c r="C514" s="1210"/>
      <c r="D514" s="939"/>
      <c r="E514" s="1211" t="str">
        <f t="shared" si="58"/>
        <v xml:space="preserve"> </v>
      </c>
      <c r="G514" s="1212" t="str">
        <f t="shared" si="59"/>
        <v xml:space="preserve"> </v>
      </c>
      <c r="H514" s="1201"/>
      <c r="I514">
        <f t="shared" si="56"/>
        <v>0</v>
      </c>
      <c r="K514">
        <f t="shared" si="57"/>
        <v>0</v>
      </c>
      <c r="L514" s="1213"/>
      <c r="N514" s="1214" t="str">
        <f t="shared" si="60"/>
        <v xml:space="preserve"> </v>
      </c>
      <c r="O514" s="1215" t="str">
        <f t="shared" si="61"/>
        <v xml:space="preserve"> </v>
      </c>
      <c r="Q514">
        <f t="shared" si="62"/>
        <v>0</v>
      </c>
      <c r="R514">
        <f t="shared" si="63"/>
        <v>0</v>
      </c>
    </row>
    <row r="515" spans="2:18" x14ac:dyDescent="0.2">
      <c r="B515" s="1209"/>
      <c r="C515" s="1210"/>
      <c r="D515" s="939"/>
      <c r="E515" s="1211" t="str">
        <f t="shared" si="58"/>
        <v xml:space="preserve"> </v>
      </c>
      <c r="G515" s="1212" t="str">
        <f t="shared" si="59"/>
        <v xml:space="preserve"> </v>
      </c>
      <c r="H515" s="1201"/>
      <c r="I515">
        <f t="shared" si="56"/>
        <v>0</v>
      </c>
      <c r="K515">
        <f t="shared" si="57"/>
        <v>0</v>
      </c>
      <c r="L515" s="1213"/>
      <c r="N515" s="1214" t="str">
        <f t="shared" si="60"/>
        <v xml:space="preserve"> </v>
      </c>
      <c r="O515" s="1215" t="str">
        <f t="shared" si="61"/>
        <v xml:space="preserve"> </v>
      </c>
      <c r="Q515">
        <f t="shared" si="62"/>
        <v>0</v>
      </c>
      <c r="R515">
        <f t="shared" si="63"/>
        <v>0</v>
      </c>
    </row>
    <row r="516" spans="2:18" x14ac:dyDescent="0.2">
      <c r="B516" s="1209"/>
      <c r="C516" s="1210"/>
      <c r="D516" s="939"/>
      <c r="E516" s="1211" t="str">
        <f t="shared" si="58"/>
        <v xml:space="preserve"> </v>
      </c>
      <c r="G516" s="1212" t="str">
        <f t="shared" si="59"/>
        <v xml:space="preserve"> </v>
      </c>
      <c r="H516" s="1201"/>
      <c r="I516">
        <f t="shared" si="56"/>
        <v>0</v>
      </c>
      <c r="K516">
        <f t="shared" si="57"/>
        <v>0</v>
      </c>
      <c r="L516" s="1213"/>
      <c r="N516" s="1214" t="str">
        <f t="shared" si="60"/>
        <v xml:space="preserve"> </v>
      </c>
      <c r="O516" s="1215" t="str">
        <f t="shared" si="61"/>
        <v xml:space="preserve"> </v>
      </c>
      <c r="Q516">
        <f t="shared" si="62"/>
        <v>0</v>
      </c>
      <c r="R516">
        <f t="shared" si="63"/>
        <v>0</v>
      </c>
    </row>
    <row r="517" spans="2:18" x14ac:dyDescent="0.2">
      <c r="B517" s="1209"/>
      <c r="C517" s="1210"/>
      <c r="D517" s="939"/>
      <c r="E517" s="1211" t="str">
        <f t="shared" si="58"/>
        <v xml:space="preserve"> </v>
      </c>
      <c r="G517" s="1212" t="str">
        <f t="shared" si="59"/>
        <v xml:space="preserve"> </v>
      </c>
      <c r="H517" s="1201"/>
      <c r="I517">
        <f t="shared" si="56"/>
        <v>0</v>
      </c>
      <c r="K517">
        <f t="shared" si="57"/>
        <v>0</v>
      </c>
      <c r="L517" s="1213"/>
      <c r="N517" s="1214" t="str">
        <f t="shared" si="60"/>
        <v xml:space="preserve"> </v>
      </c>
      <c r="O517" s="1215" t="str">
        <f t="shared" si="61"/>
        <v xml:space="preserve"> </v>
      </c>
      <c r="Q517">
        <f t="shared" si="62"/>
        <v>0</v>
      </c>
      <c r="R517">
        <f t="shared" si="63"/>
        <v>0</v>
      </c>
    </row>
    <row r="518" spans="2:18" x14ac:dyDescent="0.2">
      <c r="B518" s="1209"/>
      <c r="C518" s="1210"/>
      <c r="D518" s="939"/>
      <c r="E518" s="1211" t="str">
        <f t="shared" si="58"/>
        <v xml:space="preserve"> </v>
      </c>
      <c r="G518" s="1212" t="str">
        <f t="shared" si="59"/>
        <v xml:space="preserve"> </v>
      </c>
      <c r="H518" s="1201"/>
      <c r="I518">
        <f t="shared" si="56"/>
        <v>0</v>
      </c>
      <c r="K518">
        <f t="shared" si="57"/>
        <v>0</v>
      </c>
      <c r="L518" s="1213"/>
      <c r="N518" s="1214" t="str">
        <f t="shared" si="60"/>
        <v xml:space="preserve"> </v>
      </c>
      <c r="O518" s="1215" t="str">
        <f t="shared" si="61"/>
        <v xml:space="preserve"> </v>
      </c>
      <c r="Q518">
        <f t="shared" si="62"/>
        <v>0</v>
      </c>
      <c r="R518">
        <f t="shared" si="63"/>
        <v>0</v>
      </c>
    </row>
    <row r="519" spans="2:18" x14ac:dyDescent="0.2">
      <c r="B519" s="1209"/>
      <c r="C519" s="1210"/>
      <c r="D519" s="939"/>
      <c r="E519" s="1211" t="str">
        <f t="shared" si="58"/>
        <v xml:space="preserve"> </v>
      </c>
      <c r="G519" s="1212" t="str">
        <f t="shared" si="59"/>
        <v xml:space="preserve"> </v>
      </c>
      <c r="H519" s="1201"/>
      <c r="I519">
        <f t="shared" si="56"/>
        <v>0</v>
      </c>
      <c r="K519">
        <f t="shared" si="57"/>
        <v>0</v>
      </c>
      <c r="L519" s="1213"/>
      <c r="N519" s="1214" t="str">
        <f t="shared" si="60"/>
        <v xml:space="preserve"> </v>
      </c>
      <c r="O519" s="1215" t="str">
        <f t="shared" si="61"/>
        <v xml:space="preserve"> </v>
      </c>
      <c r="Q519">
        <f t="shared" si="62"/>
        <v>0</v>
      </c>
      <c r="R519">
        <f t="shared" si="63"/>
        <v>0</v>
      </c>
    </row>
    <row r="520" spans="2:18" x14ac:dyDescent="0.2">
      <c r="B520" s="1209"/>
      <c r="C520" s="1210"/>
      <c r="D520" s="939"/>
      <c r="E520" s="1211" t="str">
        <f t="shared" si="58"/>
        <v xml:space="preserve"> </v>
      </c>
      <c r="G520" s="1212" t="str">
        <f t="shared" si="59"/>
        <v xml:space="preserve"> </v>
      </c>
      <c r="H520" s="1201"/>
      <c r="I520">
        <f t="shared" ref="I520:I583" si="64">(J520+C520)/12</f>
        <v>0</v>
      </c>
      <c r="K520">
        <f t="shared" ref="K520:K583" si="65">I520+B520</f>
        <v>0</v>
      </c>
      <c r="L520" s="1213"/>
      <c r="N520" s="1214" t="str">
        <f t="shared" si="60"/>
        <v xml:space="preserve"> </v>
      </c>
      <c r="O520" s="1215" t="str">
        <f t="shared" si="61"/>
        <v xml:space="preserve"> </v>
      </c>
      <c r="Q520">
        <f t="shared" si="62"/>
        <v>0</v>
      </c>
      <c r="R520">
        <f t="shared" si="63"/>
        <v>0</v>
      </c>
    </row>
    <row r="521" spans="2:18" x14ac:dyDescent="0.2">
      <c r="B521" s="1209"/>
      <c r="C521" s="1210"/>
      <c r="D521" s="939"/>
      <c r="E521" s="1211" t="str">
        <f t="shared" si="58"/>
        <v xml:space="preserve"> </v>
      </c>
      <c r="G521" s="1212" t="str">
        <f t="shared" si="59"/>
        <v xml:space="preserve"> </v>
      </c>
      <c r="H521" s="1201"/>
      <c r="I521">
        <f t="shared" si="64"/>
        <v>0</v>
      </c>
      <c r="K521">
        <f t="shared" si="65"/>
        <v>0</v>
      </c>
      <c r="L521" s="1213"/>
      <c r="N521" s="1214" t="str">
        <f t="shared" si="60"/>
        <v xml:space="preserve"> </v>
      </c>
      <c r="O521" s="1215" t="str">
        <f t="shared" si="61"/>
        <v xml:space="preserve"> </v>
      </c>
      <c r="Q521">
        <f t="shared" si="62"/>
        <v>0</v>
      </c>
      <c r="R521">
        <f t="shared" si="63"/>
        <v>0</v>
      </c>
    </row>
    <row r="522" spans="2:18" x14ac:dyDescent="0.2">
      <c r="B522" s="1209"/>
      <c r="C522" s="1210"/>
      <c r="D522" s="939"/>
      <c r="E522" s="1211" t="str">
        <f t="shared" ref="E522:E585" si="66">IF(K522=0," ",IF(K522&gt;0,K522*12*25.4))</f>
        <v xml:space="preserve"> </v>
      </c>
      <c r="G522" s="1212" t="str">
        <f t="shared" ref="G522:G585" si="67">IF(K522=0," ",IF(K522&gt;0,E522/1000))</f>
        <v xml:space="preserve"> </v>
      </c>
      <c r="H522" s="1201"/>
      <c r="I522">
        <f t="shared" si="64"/>
        <v>0</v>
      </c>
      <c r="K522">
        <f t="shared" si="65"/>
        <v>0</v>
      </c>
      <c r="L522" s="1213"/>
      <c r="N522" s="1214" t="str">
        <f t="shared" ref="N522:N585" si="68">IF(R522=0," ",IF(R522&gt;0,TRUNC(R522)))</f>
        <v xml:space="preserve"> </v>
      </c>
      <c r="O522" s="1215" t="str">
        <f t="shared" ref="O522:O585" si="69">IF(R522=0," ",IF(R522&gt;0,(R522-N522)*12))</f>
        <v xml:space="preserve"> </v>
      </c>
      <c r="Q522">
        <f t="shared" ref="Q522:Q585" si="70">L522/25.4</f>
        <v>0</v>
      </c>
      <c r="R522">
        <f t="shared" ref="R522:R585" si="71">Q522/12</f>
        <v>0</v>
      </c>
    </row>
    <row r="523" spans="2:18" x14ac:dyDescent="0.2">
      <c r="B523" s="1209"/>
      <c r="C523" s="1210"/>
      <c r="D523" s="939"/>
      <c r="E523" s="1211" t="str">
        <f t="shared" si="66"/>
        <v xml:space="preserve"> </v>
      </c>
      <c r="G523" s="1212" t="str">
        <f t="shared" si="67"/>
        <v xml:space="preserve"> </v>
      </c>
      <c r="H523" s="1201"/>
      <c r="I523">
        <f t="shared" si="64"/>
        <v>0</v>
      </c>
      <c r="K523">
        <f t="shared" si="65"/>
        <v>0</v>
      </c>
      <c r="L523" s="1213"/>
      <c r="N523" s="1214" t="str">
        <f t="shared" si="68"/>
        <v xml:space="preserve"> </v>
      </c>
      <c r="O523" s="1215" t="str">
        <f t="shared" si="69"/>
        <v xml:space="preserve"> </v>
      </c>
      <c r="Q523">
        <f t="shared" si="70"/>
        <v>0</v>
      </c>
      <c r="R523">
        <f t="shared" si="71"/>
        <v>0</v>
      </c>
    </row>
    <row r="524" spans="2:18" x14ac:dyDescent="0.2">
      <c r="B524" s="1209"/>
      <c r="C524" s="1210"/>
      <c r="D524" s="939"/>
      <c r="E524" s="1211" t="str">
        <f t="shared" si="66"/>
        <v xml:space="preserve"> </v>
      </c>
      <c r="G524" s="1212" t="str">
        <f t="shared" si="67"/>
        <v xml:space="preserve"> </v>
      </c>
      <c r="H524" s="1201"/>
      <c r="I524">
        <f t="shared" si="64"/>
        <v>0</v>
      </c>
      <c r="K524">
        <f t="shared" si="65"/>
        <v>0</v>
      </c>
      <c r="L524" s="1213"/>
      <c r="N524" s="1214" t="str">
        <f t="shared" si="68"/>
        <v xml:space="preserve"> </v>
      </c>
      <c r="O524" s="1215" t="str">
        <f t="shared" si="69"/>
        <v xml:space="preserve"> </v>
      </c>
      <c r="Q524">
        <f t="shared" si="70"/>
        <v>0</v>
      </c>
      <c r="R524">
        <f t="shared" si="71"/>
        <v>0</v>
      </c>
    </row>
    <row r="525" spans="2:18" x14ac:dyDescent="0.2">
      <c r="B525" s="1209"/>
      <c r="C525" s="1210"/>
      <c r="D525" s="939"/>
      <c r="E525" s="1211" t="str">
        <f t="shared" si="66"/>
        <v xml:space="preserve"> </v>
      </c>
      <c r="G525" s="1212" t="str">
        <f t="shared" si="67"/>
        <v xml:space="preserve"> </v>
      </c>
      <c r="H525" s="1201"/>
      <c r="I525">
        <f t="shared" si="64"/>
        <v>0</v>
      </c>
      <c r="K525">
        <f t="shared" si="65"/>
        <v>0</v>
      </c>
      <c r="L525" s="1213"/>
      <c r="N525" s="1214" t="str">
        <f t="shared" si="68"/>
        <v xml:space="preserve"> </v>
      </c>
      <c r="O525" s="1215" t="str">
        <f t="shared" si="69"/>
        <v xml:space="preserve"> </v>
      </c>
      <c r="Q525">
        <f t="shared" si="70"/>
        <v>0</v>
      </c>
      <c r="R525">
        <f t="shared" si="71"/>
        <v>0</v>
      </c>
    </row>
    <row r="526" spans="2:18" x14ac:dyDescent="0.2">
      <c r="B526" s="1209"/>
      <c r="C526" s="1210"/>
      <c r="D526" s="939"/>
      <c r="E526" s="1211" t="str">
        <f t="shared" si="66"/>
        <v xml:space="preserve"> </v>
      </c>
      <c r="G526" s="1212" t="str">
        <f t="shared" si="67"/>
        <v xml:space="preserve"> </v>
      </c>
      <c r="H526" s="1201"/>
      <c r="I526">
        <f t="shared" si="64"/>
        <v>0</v>
      </c>
      <c r="K526">
        <f t="shared" si="65"/>
        <v>0</v>
      </c>
      <c r="L526" s="1213"/>
      <c r="N526" s="1214" t="str">
        <f t="shared" si="68"/>
        <v xml:space="preserve"> </v>
      </c>
      <c r="O526" s="1215" t="str">
        <f t="shared" si="69"/>
        <v xml:space="preserve"> </v>
      </c>
      <c r="Q526">
        <f t="shared" si="70"/>
        <v>0</v>
      </c>
      <c r="R526">
        <f t="shared" si="71"/>
        <v>0</v>
      </c>
    </row>
    <row r="527" spans="2:18" x14ac:dyDescent="0.2">
      <c r="B527" s="1209"/>
      <c r="C527" s="1210"/>
      <c r="D527" s="939"/>
      <c r="E527" s="1211" t="str">
        <f t="shared" si="66"/>
        <v xml:space="preserve"> </v>
      </c>
      <c r="G527" s="1212" t="str">
        <f t="shared" si="67"/>
        <v xml:space="preserve"> </v>
      </c>
      <c r="H527" s="1201"/>
      <c r="I527">
        <f t="shared" si="64"/>
        <v>0</v>
      </c>
      <c r="K527">
        <f t="shared" si="65"/>
        <v>0</v>
      </c>
      <c r="L527" s="1213"/>
      <c r="N527" s="1214" t="str">
        <f t="shared" si="68"/>
        <v xml:space="preserve"> </v>
      </c>
      <c r="O527" s="1215" t="str">
        <f t="shared" si="69"/>
        <v xml:space="preserve"> </v>
      </c>
      <c r="Q527">
        <f t="shared" si="70"/>
        <v>0</v>
      </c>
      <c r="R527">
        <f t="shared" si="71"/>
        <v>0</v>
      </c>
    </row>
    <row r="528" spans="2:18" x14ac:dyDescent="0.2">
      <c r="B528" s="1209"/>
      <c r="C528" s="1210"/>
      <c r="D528" s="939"/>
      <c r="E528" s="1211" t="str">
        <f t="shared" si="66"/>
        <v xml:space="preserve"> </v>
      </c>
      <c r="G528" s="1212" t="str">
        <f t="shared" si="67"/>
        <v xml:space="preserve"> </v>
      </c>
      <c r="H528" s="1201"/>
      <c r="I528">
        <f t="shared" si="64"/>
        <v>0</v>
      </c>
      <c r="K528">
        <f t="shared" si="65"/>
        <v>0</v>
      </c>
      <c r="L528" s="1213"/>
      <c r="N528" s="1214" t="str">
        <f t="shared" si="68"/>
        <v xml:space="preserve"> </v>
      </c>
      <c r="O528" s="1215" t="str">
        <f t="shared" si="69"/>
        <v xml:space="preserve"> </v>
      </c>
      <c r="Q528">
        <f t="shared" si="70"/>
        <v>0</v>
      </c>
      <c r="R528">
        <f t="shared" si="71"/>
        <v>0</v>
      </c>
    </row>
    <row r="529" spans="2:18" x14ac:dyDescent="0.2">
      <c r="B529" s="1209"/>
      <c r="C529" s="1210"/>
      <c r="D529" s="939"/>
      <c r="E529" s="1211" t="str">
        <f t="shared" si="66"/>
        <v xml:space="preserve"> </v>
      </c>
      <c r="G529" s="1212" t="str">
        <f t="shared" si="67"/>
        <v xml:space="preserve"> </v>
      </c>
      <c r="H529" s="1201"/>
      <c r="I529">
        <f t="shared" si="64"/>
        <v>0</v>
      </c>
      <c r="K529">
        <f t="shared" si="65"/>
        <v>0</v>
      </c>
      <c r="L529" s="1213"/>
      <c r="N529" s="1214" t="str">
        <f t="shared" si="68"/>
        <v xml:space="preserve"> </v>
      </c>
      <c r="O529" s="1215" t="str">
        <f t="shared" si="69"/>
        <v xml:space="preserve"> </v>
      </c>
      <c r="Q529">
        <f t="shared" si="70"/>
        <v>0</v>
      </c>
      <c r="R529">
        <f t="shared" si="71"/>
        <v>0</v>
      </c>
    </row>
    <row r="530" spans="2:18" x14ac:dyDescent="0.2">
      <c r="B530" s="1209"/>
      <c r="C530" s="1210"/>
      <c r="D530" s="939"/>
      <c r="E530" s="1211" t="str">
        <f t="shared" si="66"/>
        <v xml:space="preserve"> </v>
      </c>
      <c r="G530" s="1212" t="str">
        <f t="shared" si="67"/>
        <v xml:space="preserve"> </v>
      </c>
      <c r="H530" s="1201"/>
      <c r="I530">
        <f t="shared" si="64"/>
        <v>0</v>
      </c>
      <c r="K530">
        <f t="shared" si="65"/>
        <v>0</v>
      </c>
      <c r="L530" s="1213"/>
      <c r="N530" s="1214" t="str">
        <f t="shared" si="68"/>
        <v xml:space="preserve"> </v>
      </c>
      <c r="O530" s="1215" t="str">
        <f t="shared" si="69"/>
        <v xml:space="preserve"> </v>
      </c>
      <c r="Q530">
        <f t="shared" si="70"/>
        <v>0</v>
      </c>
      <c r="R530">
        <f t="shared" si="71"/>
        <v>0</v>
      </c>
    </row>
    <row r="531" spans="2:18" x14ac:dyDescent="0.2">
      <c r="B531" s="1209"/>
      <c r="C531" s="1210"/>
      <c r="D531" s="939"/>
      <c r="E531" s="1211" t="str">
        <f t="shared" si="66"/>
        <v xml:space="preserve"> </v>
      </c>
      <c r="G531" s="1212" t="str">
        <f t="shared" si="67"/>
        <v xml:space="preserve"> </v>
      </c>
      <c r="H531" s="1201"/>
      <c r="I531">
        <f t="shared" si="64"/>
        <v>0</v>
      </c>
      <c r="K531">
        <f t="shared" si="65"/>
        <v>0</v>
      </c>
      <c r="L531" s="1213"/>
      <c r="N531" s="1214" t="str">
        <f t="shared" si="68"/>
        <v xml:space="preserve"> </v>
      </c>
      <c r="O531" s="1215" t="str">
        <f t="shared" si="69"/>
        <v xml:space="preserve"> </v>
      </c>
      <c r="Q531">
        <f t="shared" si="70"/>
        <v>0</v>
      </c>
      <c r="R531">
        <f t="shared" si="71"/>
        <v>0</v>
      </c>
    </row>
    <row r="532" spans="2:18" x14ac:dyDescent="0.2">
      <c r="B532" s="1209"/>
      <c r="C532" s="1210"/>
      <c r="D532" s="939"/>
      <c r="E532" s="1211" t="str">
        <f t="shared" si="66"/>
        <v xml:space="preserve"> </v>
      </c>
      <c r="G532" s="1212" t="str">
        <f t="shared" si="67"/>
        <v xml:space="preserve"> </v>
      </c>
      <c r="H532" s="1201"/>
      <c r="I532">
        <f t="shared" si="64"/>
        <v>0</v>
      </c>
      <c r="K532">
        <f t="shared" si="65"/>
        <v>0</v>
      </c>
      <c r="L532" s="1213"/>
      <c r="N532" s="1214" t="str">
        <f t="shared" si="68"/>
        <v xml:space="preserve"> </v>
      </c>
      <c r="O532" s="1215" t="str">
        <f t="shared" si="69"/>
        <v xml:space="preserve"> </v>
      </c>
      <c r="Q532">
        <f t="shared" si="70"/>
        <v>0</v>
      </c>
      <c r="R532">
        <f t="shared" si="71"/>
        <v>0</v>
      </c>
    </row>
    <row r="533" spans="2:18" x14ac:dyDescent="0.2">
      <c r="B533" s="1209"/>
      <c r="C533" s="1210"/>
      <c r="D533" s="939"/>
      <c r="E533" s="1211" t="str">
        <f t="shared" si="66"/>
        <v xml:space="preserve"> </v>
      </c>
      <c r="G533" s="1212" t="str">
        <f t="shared" si="67"/>
        <v xml:space="preserve"> </v>
      </c>
      <c r="H533" s="1201"/>
      <c r="I533">
        <f t="shared" si="64"/>
        <v>0</v>
      </c>
      <c r="K533">
        <f t="shared" si="65"/>
        <v>0</v>
      </c>
      <c r="L533" s="1213"/>
      <c r="N533" s="1214" t="str">
        <f t="shared" si="68"/>
        <v xml:space="preserve"> </v>
      </c>
      <c r="O533" s="1215" t="str">
        <f t="shared" si="69"/>
        <v xml:space="preserve"> </v>
      </c>
      <c r="Q533">
        <f t="shared" si="70"/>
        <v>0</v>
      </c>
      <c r="R533">
        <f t="shared" si="71"/>
        <v>0</v>
      </c>
    </row>
    <row r="534" spans="2:18" x14ac:dyDescent="0.2">
      <c r="B534" s="1209"/>
      <c r="C534" s="1210"/>
      <c r="D534" s="939"/>
      <c r="E534" s="1211" t="str">
        <f t="shared" si="66"/>
        <v xml:space="preserve"> </v>
      </c>
      <c r="G534" s="1212" t="str">
        <f t="shared" si="67"/>
        <v xml:space="preserve"> </v>
      </c>
      <c r="H534" s="1201"/>
      <c r="I534">
        <f t="shared" si="64"/>
        <v>0</v>
      </c>
      <c r="K534">
        <f t="shared" si="65"/>
        <v>0</v>
      </c>
      <c r="L534" s="1213"/>
      <c r="N534" s="1214" t="str">
        <f t="shared" si="68"/>
        <v xml:space="preserve"> </v>
      </c>
      <c r="O534" s="1215" t="str">
        <f t="shared" si="69"/>
        <v xml:space="preserve"> </v>
      </c>
      <c r="Q534">
        <f t="shared" si="70"/>
        <v>0</v>
      </c>
      <c r="R534">
        <f t="shared" si="71"/>
        <v>0</v>
      </c>
    </row>
    <row r="535" spans="2:18" x14ac:dyDescent="0.2">
      <c r="B535" s="1209"/>
      <c r="C535" s="1210"/>
      <c r="D535" s="939"/>
      <c r="E535" s="1211" t="str">
        <f t="shared" si="66"/>
        <v xml:space="preserve"> </v>
      </c>
      <c r="G535" s="1212" t="str">
        <f t="shared" si="67"/>
        <v xml:space="preserve"> </v>
      </c>
      <c r="H535" s="1201"/>
      <c r="I535">
        <f t="shared" si="64"/>
        <v>0</v>
      </c>
      <c r="K535">
        <f t="shared" si="65"/>
        <v>0</v>
      </c>
      <c r="L535" s="1213"/>
      <c r="N535" s="1214" t="str">
        <f t="shared" si="68"/>
        <v xml:space="preserve"> </v>
      </c>
      <c r="O535" s="1215" t="str">
        <f t="shared" si="69"/>
        <v xml:space="preserve"> </v>
      </c>
      <c r="Q535">
        <f t="shared" si="70"/>
        <v>0</v>
      </c>
      <c r="R535">
        <f t="shared" si="71"/>
        <v>0</v>
      </c>
    </row>
    <row r="536" spans="2:18" x14ac:dyDescent="0.2">
      <c r="B536" s="1209"/>
      <c r="C536" s="1210"/>
      <c r="D536" s="939"/>
      <c r="E536" s="1211" t="str">
        <f t="shared" si="66"/>
        <v xml:space="preserve"> </v>
      </c>
      <c r="G536" s="1212" t="str">
        <f t="shared" si="67"/>
        <v xml:space="preserve"> </v>
      </c>
      <c r="H536" s="1201"/>
      <c r="I536">
        <f t="shared" si="64"/>
        <v>0</v>
      </c>
      <c r="K536">
        <f t="shared" si="65"/>
        <v>0</v>
      </c>
      <c r="L536" s="1213"/>
      <c r="N536" s="1214" t="str">
        <f t="shared" si="68"/>
        <v xml:space="preserve"> </v>
      </c>
      <c r="O536" s="1215" t="str">
        <f t="shared" si="69"/>
        <v xml:space="preserve"> </v>
      </c>
      <c r="Q536">
        <f t="shared" si="70"/>
        <v>0</v>
      </c>
      <c r="R536">
        <f t="shared" si="71"/>
        <v>0</v>
      </c>
    </row>
    <row r="537" spans="2:18" x14ac:dyDescent="0.2">
      <c r="B537" s="1209"/>
      <c r="C537" s="1210"/>
      <c r="D537" s="939"/>
      <c r="E537" s="1211" t="str">
        <f t="shared" si="66"/>
        <v xml:space="preserve"> </v>
      </c>
      <c r="G537" s="1212" t="str">
        <f t="shared" si="67"/>
        <v xml:space="preserve"> </v>
      </c>
      <c r="H537" s="1201"/>
      <c r="I537">
        <f t="shared" si="64"/>
        <v>0</v>
      </c>
      <c r="K537">
        <f t="shared" si="65"/>
        <v>0</v>
      </c>
      <c r="L537" s="1213"/>
      <c r="N537" s="1214" t="str">
        <f t="shared" si="68"/>
        <v xml:space="preserve"> </v>
      </c>
      <c r="O537" s="1215" t="str">
        <f t="shared" si="69"/>
        <v xml:space="preserve"> </v>
      </c>
      <c r="Q537">
        <f t="shared" si="70"/>
        <v>0</v>
      </c>
      <c r="R537">
        <f t="shared" si="71"/>
        <v>0</v>
      </c>
    </row>
    <row r="538" spans="2:18" x14ac:dyDescent="0.2">
      <c r="B538" s="1209"/>
      <c r="C538" s="1210"/>
      <c r="D538" s="939"/>
      <c r="E538" s="1211" t="str">
        <f t="shared" si="66"/>
        <v xml:space="preserve"> </v>
      </c>
      <c r="G538" s="1212" t="str">
        <f t="shared" si="67"/>
        <v xml:space="preserve"> </v>
      </c>
      <c r="H538" s="1201"/>
      <c r="I538">
        <f t="shared" si="64"/>
        <v>0</v>
      </c>
      <c r="K538">
        <f t="shared" si="65"/>
        <v>0</v>
      </c>
      <c r="L538" s="1213"/>
      <c r="N538" s="1214" t="str">
        <f t="shared" si="68"/>
        <v xml:space="preserve"> </v>
      </c>
      <c r="O538" s="1215" t="str">
        <f t="shared" si="69"/>
        <v xml:space="preserve"> </v>
      </c>
      <c r="Q538">
        <f t="shared" si="70"/>
        <v>0</v>
      </c>
      <c r="R538">
        <f t="shared" si="71"/>
        <v>0</v>
      </c>
    </row>
    <row r="539" spans="2:18" x14ac:dyDescent="0.2">
      <c r="B539" s="1209"/>
      <c r="C539" s="1210"/>
      <c r="D539" s="939"/>
      <c r="E539" s="1211" t="str">
        <f t="shared" si="66"/>
        <v xml:space="preserve"> </v>
      </c>
      <c r="G539" s="1212" t="str">
        <f t="shared" si="67"/>
        <v xml:space="preserve"> </v>
      </c>
      <c r="H539" s="1201"/>
      <c r="I539">
        <f t="shared" si="64"/>
        <v>0</v>
      </c>
      <c r="K539">
        <f t="shared" si="65"/>
        <v>0</v>
      </c>
      <c r="L539" s="1213"/>
      <c r="N539" s="1214" t="str">
        <f t="shared" si="68"/>
        <v xml:space="preserve"> </v>
      </c>
      <c r="O539" s="1215" t="str">
        <f t="shared" si="69"/>
        <v xml:space="preserve"> </v>
      </c>
      <c r="Q539">
        <f t="shared" si="70"/>
        <v>0</v>
      </c>
      <c r="R539">
        <f t="shared" si="71"/>
        <v>0</v>
      </c>
    </row>
    <row r="540" spans="2:18" x14ac:dyDescent="0.2">
      <c r="B540" s="1209"/>
      <c r="C540" s="1210"/>
      <c r="D540" s="939"/>
      <c r="E540" s="1211" t="str">
        <f t="shared" si="66"/>
        <v xml:space="preserve"> </v>
      </c>
      <c r="G540" s="1212" t="str">
        <f t="shared" si="67"/>
        <v xml:space="preserve"> </v>
      </c>
      <c r="H540" s="1201"/>
      <c r="I540">
        <f t="shared" si="64"/>
        <v>0</v>
      </c>
      <c r="K540">
        <f t="shared" si="65"/>
        <v>0</v>
      </c>
      <c r="L540" s="1213"/>
      <c r="N540" s="1214" t="str">
        <f t="shared" si="68"/>
        <v xml:space="preserve"> </v>
      </c>
      <c r="O540" s="1215" t="str">
        <f t="shared" si="69"/>
        <v xml:space="preserve"> </v>
      </c>
      <c r="Q540">
        <f t="shared" si="70"/>
        <v>0</v>
      </c>
      <c r="R540">
        <f t="shared" si="71"/>
        <v>0</v>
      </c>
    </row>
    <row r="541" spans="2:18" x14ac:dyDescent="0.2">
      <c r="B541" s="1209"/>
      <c r="C541" s="1210"/>
      <c r="D541" s="939"/>
      <c r="E541" s="1211" t="str">
        <f t="shared" si="66"/>
        <v xml:space="preserve"> </v>
      </c>
      <c r="G541" s="1212" t="str">
        <f t="shared" si="67"/>
        <v xml:space="preserve"> </v>
      </c>
      <c r="H541" s="1201"/>
      <c r="I541">
        <f t="shared" si="64"/>
        <v>0</v>
      </c>
      <c r="K541">
        <f t="shared" si="65"/>
        <v>0</v>
      </c>
      <c r="L541" s="1213"/>
      <c r="N541" s="1214" t="str">
        <f t="shared" si="68"/>
        <v xml:space="preserve"> </v>
      </c>
      <c r="O541" s="1215" t="str">
        <f t="shared" si="69"/>
        <v xml:space="preserve"> </v>
      </c>
      <c r="Q541">
        <f t="shared" si="70"/>
        <v>0</v>
      </c>
      <c r="R541">
        <f t="shared" si="71"/>
        <v>0</v>
      </c>
    </row>
    <row r="542" spans="2:18" x14ac:dyDescent="0.2">
      <c r="B542" s="1209"/>
      <c r="C542" s="1210"/>
      <c r="D542" s="939"/>
      <c r="E542" s="1211" t="str">
        <f t="shared" si="66"/>
        <v xml:space="preserve"> </v>
      </c>
      <c r="G542" s="1212" t="str">
        <f t="shared" si="67"/>
        <v xml:space="preserve"> </v>
      </c>
      <c r="H542" s="1201"/>
      <c r="I542">
        <f t="shared" si="64"/>
        <v>0</v>
      </c>
      <c r="K542">
        <f t="shared" si="65"/>
        <v>0</v>
      </c>
      <c r="L542" s="1213"/>
      <c r="N542" s="1214" t="str">
        <f t="shared" si="68"/>
        <v xml:space="preserve"> </v>
      </c>
      <c r="O542" s="1215" t="str">
        <f t="shared" si="69"/>
        <v xml:space="preserve"> </v>
      </c>
      <c r="Q542">
        <f t="shared" si="70"/>
        <v>0</v>
      </c>
      <c r="R542">
        <f t="shared" si="71"/>
        <v>0</v>
      </c>
    </row>
    <row r="543" spans="2:18" x14ac:dyDescent="0.2">
      <c r="B543" s="1209"/>
      <c r="C543" s="1210"/>
      <c r="D543" s="939"/>
      <c r="E543" s="1211" t="str">
        <f t="shared" si="66"/>
        <v xml:space="preserve"> </v>
      </c>
      <c r="G543" s="1212" t="str">
        <f t="shared" si="67"/>
        <v xml:space="preserve"> </v>
      </c>
      <c r="H543" s="1201"/>
      <c r="I543">
        <f t="shared" si="64"/>
        <v>0</v>
      </c>
      <c r="K543">
        <f t="shared" si="65"/>
        <v>0</v>
      </c>
      <c r="L543" s="1213"/>
      <c r="N543" s="1214" t="str">
        <f t="shared" si="68"/>
        <v xml:space="preserve"> </v>
      </c>
      <c r="O543" s="1215" t="str">
        <f t="shared" si="69"/>
        <v xml:space="preserve"> </v>
      </c>
      <c r="Q543">
        <f t="shared" si="70"/>
        <v>0</v>
      </c>
      <c r="R543">
        <f t="shared" si="71"/>
        <v>0</v>
      </c>
    </row>
    <row r="544" spans="2:18" x14ac:dyDescent="0.2">
      <c r="B544" s="1209"/>
      <c r="C544" s="1210"/>
      <c r="D544" s="939"/>
      <c r="E544" s="1211" t="str">
        <f t="shared" si="66"/>
        <v xml:space="preserve"> </v>
      </c>
      <c r="G544" s="1212" t="str">
        <f t="shared" si="67"/>
        <v xml:space="preserve"> </v>
      </c>
      <c r="H544" s="1201"/>
      <c r="I544">
        <f t="shared" si="64"/>
        <v>0</v>
      </c>
      <c r="K544">
        <f t="shared" si="65"/>
        <v>0</v>
      </c>
      <c r="L544" s="1213"/>
      <c r="N544" s="1214" t="str">
        <f t="shared" si="68"/>
        <v xml:space="preserve"> </v>
      </c>
      <c r="O544" s="1215" t="str">
        <f t="shared" si="69"/>
        <v xml:space="preserve"> </v>
      </c>
      <c r="Q544">
        <f t="shared" si="70"/>
        <v>0</v>
      </c>
      <c r="R544">
        <f t="shared" si="71"/>
        <v>0</v>
      </c>
    </row>
    <row r="545" spans="2:18" x14ac:dyDescent="0.2">
      <c r="B545" s="1209"/>
      <c r="C545" s="1210"/>
      <c r="D545" s="939"/>
      <c r="E545" s="1211" t="str">
        <f t="shared" si="66"/>
        <v xml:space="preserve"> </v>
      </c>
      <c r="G545" s="1212" t="str">
        <f t="shared" si="67"/>
        <v xml:space="preserve"> </v>
      </c>
      <c r="H545" s="1201"/>
      <c r="I545">
        <f t="shared" si="64"/>
        <v>0</v>
      </c>
      <c r="K545">
        <f t="shared" si="65"/>
        <v>0</v>
      </c>
      <c r="L545" s="1213"/>
      <c r="N545" s="1214" t="str">
        <f t="shared" si="68"/>
        <v xml:space="preserve"> </v>
      </c>
      <c r="O545" s="1215" t="str">
        <f t="shared" si="69"/>
        <v xml:space="preserve"> </v>
      </c>
      <c r="Q545">
        <f t="shared" si="70"/>
        <v>0</v>
      </c>
      <c r="R545">
        <f t="shared" si="71"/>
        <v>0</v>
      </c>
    </row>
    <row r="546" spans="2:18" x14ac:dyDescent="0.2">
      <c r="B546" s="1209"/>
      <c r="C546" s="1210"/>
      <c r="D546" s="939"/>
      <c r="E546" s="1211" t="str">
        <f t="shared" si="66"/>
        <v xml:space="preserve"> </v>
      </c>
      <c r="G546" s="1212" t="str">
        <f t="shared" si="67"/>
        <v xml:space="preserve"> </v>
      </c>
      <c r="H546" s="1201"/>
      <c r="I546">
        <f t="shared" si="64"/>
        <v>0</v>
      </c>
      <c r="K546">
        <f t="shared" si="65"/>
        <v>0</v>
      </c>
      <c r="L546" s="1213"/>
      <c r="N546" s="1214" t="str">
        <f t="shared" si="68"/>
        <v xml:space="preserve"> </v>
      </c>
      <c r="O546" s="1215" t="str">
        <f t="shared" si="69"/>
        <v xml:space="preserve"> </v>
      </c>
      <c r="Q546">
        <f t="shared" si="70"/>
        <v>0</v>
      </c>
      <c r="R546">
        <f t="shared" si="71"/>
        <v>0</v>
      </c>
    </row>
    <row r="547" spans="2:18" x14ac:dyDescent="0.2">
      <c r="B547" s="1209"/>
      <c r="C547" s="1210"/>
      <c r="D547" s="939"/>
      <c r="E547" s="1211" t="str">
        <f t="shared" si="66"/>
        <v xml:space="preserve"> </v>
      </c>
      <c r="G547" s="1212" t="str">
        <f t="shared" si="67"/>
        <v xml:space="preserve"> </v>
      </c>
      <c r="H547" s="1201"/>
      <c r="I547">
        <f t="shared" si="64"/>
        <v>0</v>
      </c>
      <c r="K547">
        <f t="shared" si="65"/>
        <v>0</v>
      </c>
      <c r="L547" s="1213"/>
      <c r="N547" s="1214" t="str">
        <f t="shared" si="68"/>
        <v xml:space="preserve"> </v>
      </c>
      <c r="O547" s="1215" t="str">
        <f t="shared" si="69"/>
        <v xml:space="preserve"> </v>
      </c>
      <c r="Q547">
        <f t="shared" si="70"/>
        <v>0</v>
      </c>
      <c r="R547">
        <f t="shared" si="71"/>
        <v>0</v>
      </c>
    </row>
    <row r="548" spans="2:18" x14ac:dyDescent="0.2">
      <c r="B548" s="1209"/>
      <c r="C548" s="1210"/>
      <c r="D548" s="939"/>
      <c r="E548" s="1211" t="str">
        <f t="shared" si="66"/>
        <v xml:space="preserve"> </v>
      </c>
      <c r="G548" s="1212" t="str">
        <f t="shared" si="67"/>
        <v xml:space="preserve"> </v>
      </c>
      <c r="H548" s="1201"/>
      <c r="I548">
        <f t="shared" si="64"/>
        <v>0</v>
      </c>
      <c r="K548">
        <f t="shared" si="65"/>
        <v>0</v>
      </c>
      <c r="L548" s="1213"/>
      <c r="N548" s="1214" t="str">
        <f t="shared" si="68"/>
        <v xml:space="preserve"> </v>
      </c>
      <c r="O548" s="1215" t="str">
        <f t="shared" si="69"/>
        <v xml:space="preserve"> </v>
      </c>
      <c r="Q548">
        <f t="shared" si="70"/>
        <v>0</v>
      </c>
      <c r="R548">
        <f t="shared" si="71"/>
        <v>0</v>
      </c>
    </row>
    <row r="549" spans="2:18" x14ac:dyDescent="0.2">
      <c r="B549" s="1209"/>
      <c r="C549" s="1210"/>
      <c r="D549" s="939"/>
      <c r="E549" s="1211" t="str">
        <f t="shared" si="66"/>
        <v xml:space="preserve"> </v>
      </c>
      <c r="G549" s="1212" t="str">
        <f t="shared" si="67"/>
        <v xml:space="preserve"> </v>
      </c>
      <c r="H549" s="1201"/>
      <c r="I549">
        <f t="shared" si="64"/>
        <v>0</v>
      </c>
      <c r="K549">
        <f t="shared" si="65"/>
        <v>0</v>
      </c>
      <c r="L549" s="1213"/>
      <c r="N549" s="1214" t="str">
        <f t="shared" si="68"/>
        <v xml:space="preserve"> </v>
      </c>
      <c r="O549" s="1215" t="str">
        <f t="shared" si="69"/>
        <v xml:space="preserve"> </v>
      </c>
      <c r="Q549">
        <f t="shared" si="70"/>
        <v>0</v>
      </c>
      <c r="R549">
        <f t="shared" si="71"/>
        <v>0</v>
      </c>
    </row>
    <row r="550" spans="2:18" x14ac:dyDescent="0.2">
      <c r="B550" s="1209"/>
      <c r="C550" s="1210"/>
      <c r="D550" s="939"/>
      <c r="E550" s="1211" t="str">
        <f t="shared" si="66"/>
        <v xml:space="preserve"> </v>
      </c>
      <c r="G550" s="1212" t="str">
        <f t="shared" si="67"/>
        <v xml:space="preserve"> </v>
      </c>
      <c r="H550" s="1201"/>
      <c r="I550">
        <f t="shared" si="64"/>
        <v>0</v>
      </c>
      <c r="K550">
        <f t="shared" si="65"/>
        <v>0</v>
      </c>
      <c r="L550" s="1213"/>
      <c r="N550" s="1214" t="str">
        <f t="shared" si="68"/>
        <v xml:space="preserve"> </v>
      </c>
      <c r="O550" s="1215" t="str">
        <f t="shared" si="69"/>
        <v xml:space="preserve"> </v>
      </c>
      <c r="Q550">
        <f t="shared" si="70"/>
        <v>0</v>
      </c>
      <c r="R550">
        <f t="shared" si="71"/>
        <v>0</v>
      </c>
    </row>
    <row r="551" spans="2:18" x14ac:dyDescent="0.2">
      <c r="B551" s="1209"/>
      <c r="C551" s="1210"/>
      <c r="D551" s="939"/>
      <c r="E551" s="1211" t="str">
        <f t="shared" si="66"/>
        <v xml:space="preserve"> </v>
      </c>
      <c r="G551" s="1212" t="str">
        <f t="shared" si="67"/>
        <v xml:space="preserve"> </v>
      </c>
      <c r="H551" s="1201"/>
      <c r="I551">
        <f t="shared" si="64"/>
        <v>0</v>
      </c>
      <c r="K551">
        <f t="shared" si="65"/>
        <v>0</v>
      </c>
      <c r="L551" s="1213"/>
      <c r="N551" s="1214" t="str">
        <f t="shared" si="68"/>
        <v xml:space="preserve"> </v>
      </c>
      <c r="O551" s="1215" t="str">
        <f t="shared" si="69"/>
        <v xml:space="preserve"> </v>
      </c>
      <c r="Q551">
        <f t="shared" si="70"/>
        <v>0</v>
      </c>
      <c r="R551">
        <f t="shared" si="71"/>
        <v>0</v>
      </c>
    </row>
    <row r="552" spans="2:18" x14ac:dyDescent="0.2">
      <c r="B552" s="1209"/>
      <c r="C552" s="1210"/>
      <c r="D552" s="939"/>
      <c r="E552" s="1211" t="str">
        <f t="shared" si="66"/>
        <v xml:space="preserve"> </v>
      </c>
      <c r="G552" s="1212" t="str">
        <f t="shared" si="67"/>
        <v xml:space="preserve"> </v>
      </c>
      <c r="H552" s="1201"/>
      <c r="I552">
        <f t="shared" si="64"/>
        <v>0</v>
      </c>
      <c r="K552">
        <f t="shared" si="65"/>
        <v>0</v>
      </c>
      <c r="L552" s="1213"/>
      <c r="N552" s="1214" t="str">
        <f t="shared" si="68"/>
        <v xml:space="preserve"> </v>
      </c>
      <c r="O552" s="1215" t="str">
        <f t="shared" si="69"/>
        <v xml:space="preserve"> </v>
      </c>
      <c r="Q552">
        <f t="shared" si="70"/>
        <v>0</v>
      </c>
      <c r="R552">
        <f t="shared" si="71"/>
        <v>0</v>
      </c>
    </row>
    <row r="553" spans="2:18" x14ac:dyDescent="0.2">
      <c r="B553" s="1209"/>
      <c r="C553" s="1210"/>
      <c r="D553" s="939"/>
      <c r="E553" s="1211" t="str">
        <f t="shared" si="66"/>
        <v xml:space="preserve"> </v>
      </c>
      <c r="G553" s="1212" t="str">
        <f t="shared" si="67"/>
        <v xml:space="preserve"> </v>
      </c>
      <c r="H553" s="1201"/>
      <c r="I553">
        <f t="shared" si="64"/>
        <v>0</v>
      </c>
      <c r="K553">
        <f t="shared" si="65"/>
        <v>0</v>
      </c>
      <c r="L553" s="1213"/>
      <c r="N553" s="1214" t="str">
        <f t="shared" si="68"/>
        <v xml:space="preserve"> </v>
      </c>
      <c r="O553" s="1215" t="str">
        <f t="shared" si="69"/>
        <v xml:space="preserve"> </v>
      </c>
      <c r="Q553">
        <f t="shared" si="70"/>
        <v>0</v>
      </c>
      <c r="R553">
        <f t="shared" si="71"/>
        <v>0</v>
      </c>
    </row>
    <row r="554" spans="2:18" x14ac:dyDescent="0.2">
      <c r="B554" s="1209"/>
      <c r="C554" s="1210"/>
      <c r="D554" s="939"/>
      <c r="E554" s="1211" t="str">
        <f t="shared" si="66"/>
        <v xml:space="preserve"> </v>
      </c>
      <c r="G554" s="1212" t="str">
        <f t="shared" si="67"/>
        <v xml:space="preserve"> </v>
      </c>
      <c r="H554" s="1201"/>
      <c r="I554">
        <f t="shared" si="64"/>
        <v>0</v>
      </c>
      <c r="K554">
        <f t="shared" si="65"/>
        <v>0</v>
      </c>
      <c r="L554" s="1213"/>
      <c r="N554" s="1214" t="str">
        <f t="shared" si="68"/>
        <v xml:space="preserve"> </v>
      </c>
      <c r="O554" s="1215" t="str">
        <f t="shared" si="69"/>
        <v xml:space="preserve"> </v>
      </c>
      <c r="Q554">
        <f t="shared" si="70"/>
        <v>0</v>
      </c>
      <c r="R554">
        <f t="shared" si="71"/>
        <v>0</v>
      </c>
    </row>
    <row r="555" spans="2:18" x14ac:dyDescent="0.2">
      <c r="B555" s="1209"/>
      <c r="C555" s="1210"/>
      <c r="D555" s="939"/>
      <c r="E555" s="1211" t="str">
        <f t="shared" si="66"/>
        <v xml:space="preserve"> </v>
      </c>
      <c r="G555" s="1212" t="str">
        <f t="shared" si="67"/>
        <v xml:space="preserve"> </v>
      </c>
      <c r="H555" s="1201"/>
      <c r="I555">
        <f t="shared" si="64"/>
        <v>0</v>
      </c>
      <c r="K555">
        <f t="shared" si="65"/>
        <v>0</v>
      </c>
      <c r="L555" s="1213"/>
      <c r="N555" s="1214" t="str">
        <f t="shared" si="68"/>
        <v xml:space="preserve"> </v>
      </c>
      <c r="O555" s="1215" t="str">
        <f t="shared" si="69"/>
        <v xml:space="preserve"> </v>
      </c>
      <c r="Q555">
        <f t="shared" si="70"/>
        <v>0</v>
      </c>
      <c r="R555">
        <f t="shared" si="71"/>
        <v>0</v>
      </c>
    </row>
    <row r="556" spans="2:18" x14ac:dyDescent="0.2">
      <c r="B556" s="1209"/>
      <c r="C556" s="1210"/>
      <c r="D556" s="939"/>
      <c r="E556" s="1211" t="str">
        <f t="shared" si="66"/>
        <v xml:space="preserve"> </v>
      </c>
      <c r="G556" s="1212" t="str">
        <f t="shared" si="67"/>
        <v xml:space="preserve"> </v>
      </c>
      <c r="H556" s="1201"/>
      <c r="I556">
        <f t="shared" si="64"/>
        <v>0</v>
      </c>
      <c r="K556">
        <f t="shared" si="65"/>
        <v>0</v>
      </c>
      <c r="L556" s="1213"/>
      <c r="N556" s="1214" t="str">
        <f t="shared" si="68"/>
        <v xml:space="preserve"> </v>
      </c>
      <c r="O556" s="1215" t="str">
        <f t="shared" si="69"/>
        <v xml:space="preserve"> </v>
      </c>
      <c r="Q556">
        <f t="shared" si="70"/>
        <v>0</v>
      </c>
      <c r="R556">
        <f t="shared" si="71"/>
        <v>0</v>
      </c>
    </row>
    <row r="557" spans="2:18" x14ac:dyDescent="0.2">
      <c r="B557" s="1209"/>
      <c r="C557" s="1210"/>
      <c r="D557" s="939"/>
      <c r="E557" s="1211" t="str">
        <f t="shared" si="66"/>
        <v xml:space="preserve"> </v>
      </c>
      <c r="G557" s="1212" t="str">
        <f t="shared" si="67"/>
        <v xml:space="preserve"> </v>
      </c>
      <c r="H557" s="1201"/>
      <c r="I557">
        <f t="shared" si="64"/>
        <v>0</v>
      </c>
      <c r="K557">
        <f t="shared" si="65"/>
        <v>0</v>
      </c>
      <c r="L557" s="1213"/>
      <c r="N557" s="1214" t="str">
        <f t="shared" si="68"/>
        <v xml:space="preserve"> </v>
      </c>
      <c r="O557" s="1215" t="str">
        <f t="shared" si="69"/>
        <v xml:space="preserve"> </v>
      </c>
      <c r="Q557">
        <f t="shared" si="70"/>
        <v>0</v>
      </c>
      <c r="R557">
        <f t="shared" si="71"/>
        <v>0</v>
      </c>
    </row>
    <row r="558" spans="2:18" x14ac:dyDescent="0.2">
      <c r="B558" s="1209"/>
      <c r="C558" s="1210"/>
      <c r="D558" s="939"/>
      <c r="E558" s="1211" t="str">
        <f t="shared" si="66"/>
        <v xml:space="preserve"> </v>
      </c>
      <c r="G558" s="1212" t="str">
        <f t="shared" si="67"/>
        <v xml:space="preserve"> </v>
      </c>
      <c r="H558" s="1201"/>
      <c r="I558">
        <f t="shared" si="64"/>
        <v>0</v>
      </c>
      <c r="K558">
        <f t="shared" si="65"/>
        <v>0</v>
      </c>
      <c r="L558" s="1213"/>
      <c r="N558" s="1214" t="str">
        <f t="shared" si="68"/>
        <v xml:space="preserve"> </v>
      </c>
      <c r="O558" s="1215" t="str">
        <f t="shared" si="69"/>
        <v xml:space="preserve"> </v>
      </c>
      <c r="Q558">
        <f t="shared" si="70"/>
        <v>0</v>
      </c>
      <c r="R558">
        <f t="shared" si="71"/>
        <v>0</v>
      </c>
    </row>
    <row r="559" spans="2:18" x14ac:dyDescent="0.2">
      <c r="B559" s="1209"/>
      <c r="C559" s="1210"/>
      <c r="D559" s="939"/>
      <c r="E559" s="1211" t="str">
        <f t="shared" si="66"/>
        <v xml:space="preserve"> </v>
      </c>
      <c r="G559" s="1212" t="str">
        <f t="shared" si="67"/>
        <v xml:space="preserve"> </v>
      </c>
      <c r="H559" s="1201"/>
      <c r="I559">
        <f t="shared" si="64"/>
        <v>0</v>
      </c>
      <c r="K559">
        <f t="shared" si="65"/>
        <v>0</v>
      </c>
      <c r="L559" s="1213"/>
      <c r="N559" s="1214" t="str">
        <f t="shared" si="68"/>
        <v xml:space="preserve"> </v>
      </c>
      <c r="O559" s="1215" t="str">
        <f t="shared" si="69"/>
        <v xml:space="preserve"> </v>
      </c>
      <c r="Q559">
        <f t="shared" si="70"/>
        <v>0</v>
      </c>
      <c r="R559">
        <f t="shared" si="71"/>
        <v>0</v>
      </c>
    </row>
    <row r="560" spans="2:18" x14ac:dyDescent="0.2">
      <c r="B560" s="1209"/>
      <c r="C560" s="1210"/>
      <c r="D560" s="939"/>
      <c r="E560" s="1211" t="str">
        <f t="shared" si="66"/>
        <v xml:space="preserve"> </v>
      </c>
      <c r="G560" s="1212" t="str">
        <f t="shared" si="67"/>
        <v xml:space="preserve"> </v>
      </c>
      <c r="H560" s="1201"/>
      <c r="I560">
        <f t="shared" si="64"/>
        <v>0</v>
      </c>
      <c r="K560">
        <f t="shared" si="65"/>
        <v>0</v>
      </c>
      <c r="L560" s="1213"/>
      <c r="N560" s="1214" t="str">
        <f t="shared" si="68"/>
        <v xml:space="preserve"> </v>
      </c>
      <c r="O560" s="1215" t="str">
        <f t="shared" si="69"/>
        <v xml:space="preserve"> </v>
      </c>
      <c r="Q560">
        <f t="shared" si="70"/>
        <v>0</v>
      </c>
      <c r="R560">
        <f t="shared" si="71"/>
        <v>0</v>
      </c>
    </row>
    <row r="561" spans="2:18" x14ac:dyDescent="0.2">
      <c r="B561" s="1209"/>
      <c r="C561" s="1210"/>
      <c r="D561" s="939"/>
      <c r="E561" s="1211" t="str">
        <f t="shared" si="66"/>
        <v xml:space="preserve"> </v>
      </c>
      <c r="G561" s="1212" t="str">
        <f t="shared" si="67"/>
        <v xml:space="preserve"> </v>
      </c>
      <c r="H561" s="1201"/>
      <c r="I561">
        <f t="shared" si="64"/>
        <v>0</v>
      </c>
      <c r="K561">
        <f t="shared" si="65"/>
        <v>0</v>
      </c>
      <c r="L561" s="1213"/>
      <c r="N561" s="1214" t="str">
        <f t="shared" si="68"/>
        <v xml:space="preserve"> </v>
      </c>
      <c r="O561" s="1215" t="str">
        <f t="shared" si="69"/>
        <v xml:space="preserve"> </v>
      </c>
      <c r="Q561">
        <f t="shared" si="70"/>
        <v>0</v>
      </c>
      <c r="R561">
        <f t="shared" si="71"/>
        <v>0</v>
      </c>
    </row>
    <row r="562" spans="2:18" x14ac:dyDescent="0.2">
      <c r="B562" s="1209"/>
      <c r="C562" s="1210"/>
      <c r="D562" s="939"/>
      <c r="E562" s="1211" t="str">
        <f t="shared" si="66"/>
        <v xml:space="preserve"> </v>
      </c>
      <c r="G562" s="1212" t="str">
        <f t="shared" si="67"/>
        <v xml:space="preserve"> </v>
      </c>
      <c r="H562" s="1201"/>
      <c r="I562">
        <f t="shared" si="64"/>
        <v>0</v>
      </c>
      <c r="K562">
        <f t="shared" si="65"/>
        <v>0</v>
      </c>
      <c r="L562" s="1213"/>
      <c r="N562" s="1214" t="str">
        <f t="shared" si="68"/>
        <v xml:space="preserve"> </v>
      </c>
      <c r="O562" s="1215" t="str">
        <f t="shared" si="69"/>
        <v xml:space="preserve"> </v>
      </c>
      <c r="Q562">
        <f t="shared" si="70"/>
        <v>0</v>
      </c>
      <c r="R562">
        <f t="shared" si="71"/>
        <v>0</v>
      </c>
    </row>
    <row r="563" spans="2:18" x14ac:dyDescent="0.2">
      <c r="B563" s="1209"/>
      <c r="C563" s="1210"/>
      <c r="D563" s="939"/>
      <c r="E563" s="1211" t="str">
        <f t="shared" si="66"/>
        <v xml:space="preserve"> </v>
      </c>
      <c r="G563" s="1212" t="str">
        <f t="shared" si="67"/>
        <v xml:space="preserve"> </v>
      </c>
      <c r="H563" s="1201"/>
      <c r="I563">
        <f t="shared" si="64"/>
        <v>0</v>
      </c>
      <c r="K563">
        <f t="shared" si="65"/>
        <v>0</v>
      </c>
      <c r="L563" s="1213"/>
      <c r="N563" s="1214" t="str">
        <f t="shared" si="68"/>
        <v xml:space="preserve"> </v>
      </c>
      <c r="O563" s="1215" t="str">
        <f t="shared" si="69"/>
        <v xml:space="preserve"> </v>
      </c>
      <c r="Q563">
        <f t="shared" si="70"/>
        <v>0</v>
      </c>
      <c r="R563">
        <f t="shared" si="71"/>
        <v>0</v>
      </c>
    </row>
    <row r="564" spans="2:18" x14ac:dyDescent="0.2">
      <c r="B564" s="1209"/>
      <c r="C564" s="1210"/>
      <c r="D564" s="939"/>
      <c r="E564" s="1211" t="str">
        <f t="shared" si="66"/>
        <v xml:space="preserve"> </v>
      </c>
      <c r="G564" s="1212" t="str">
        <f t="shared" si="67"/>
        <v xml:space="preserve"> </v>
      </c>
      <c r="H564" s="1201"/>
      <c r="I564">
        <f t="shared" si="64"/>
        <v>0</v>
      </c>
      <c r="K564">
        <f t="shared" si="65"/>
        <v>0</v>
      </c>
      <c r="L564" s="1213"/>
      <c r="N564" s="1214" t="str">
        <f t="shared" si="68"/>
        <v xml:space="preserve"> </v>
      </c>
      <c r="O564" s="1215" t="str">
        <f t="shared" si="69"/>
        <v xml:space="preserve"> </v>
      </c>
      <c r="Q564">
        <f t="shared" si="70"/>
        <v>0</v>
      </c>
      <c r="R564">
        <f t="shared" si="71"/>
        <v>0</v>
      </c>
    </row>
    <row r="565" spans="2:18" x14ac:dyDescent="0.2">
      <c r="B565" s="1209"/>
      <c r="C565" s="1210"/>
      <c r="D565" s="939"/>
      <c r="E565" s="1211" t="str">
        <f t="shared" si="66"/>
        <v xml:space="preserve"> </v>
      </c>
      <c r="G565" s="1212" t="str">
        <f t="shared" si="67"/>
        <v xml:space="preserve"> </v>
      </c>
      <c r="H565" s="1201"/>
      <c r="I565">
        <f t="shared" si="64"/>
        <v>0</v>
      </c>
      <c r="K565">
        <f t="shared" si="65"/>
        <v>0</v>
      </c>
      <c r="L565" s="1213"/>
      <c r="N565" s="1214" t="str">
        <f t="shared" si="68"/>
        <v xml:space="preserve"> </v>
      </c>
      <c r="O565" s="1215" t="str">
        <f t="shared" si="69"/>
        <v xml:space="preserve"> </v>
      </c>
      <c r="Q565">
        <f t="shared" si="70"/>
        <v>0</v>
      </c>
      <c r="R565">
        <f t="shared" si="71"/>
        <v>0</v>
      </c>
    </row>
    <row r="566" spans="2:18" x14ac:dyDescent="0.2">
      <c r="B566" s="1209"/>
      <c r="C566" s="1210"/>
      <c r="D566" s="939"/>
      <c r="E566" s="1211" t="str">
        <f t="shared" si="66"/>
        <v xml:space="preserve"> </v>
      </c>
      <c r="G566" s="1212" t="str">
        <f t="shared" si="67"/>
        <v xml:space="preserve"> </v>
      </c>
      <c r="H566" s="1201"/>
      <c r="I566">
        <f t="shared" si="64"/>
        <v>0</v>
      </c>
      <c r="K566">
        <f t="shared" si="65"/>
        <v>0</v>
      </c>
      <c r="L566" s="1213"/>
      <c r="N566" s="1214" t="str">
        <f t="shared" si="68"/>
        <v xml:space="preserve"> </v>
      </c>
      <c r="O566" s="1215" t="str">
        <f t="shared" si="69"/>
        <v xml:space="preserve"> </v>
      </c>
      <c r="Q566">
        <f t="shared" si="70"/>
        <v>0</v>
      </c>
      <c r="R566">
        <f t="shared" si="71"/>
        <v>0</v>
      </c>
    </row>
    <row r="567" spans="2:18" x14ac:dyDescent="0.2">
      <c r="B567" s="1209"/>
      <c r="C567" s="1210"/>
      <c r="D567" s="939"/>
      <c r="E567" s="1211" t="str">
        <f t="shared" si="66"/>
        <v xml:space="preserve"> </v>
      </c>
      <c r="G567" s="1212" t="str">
        <f t="shared" si="67"/>
        <v xml:space="preserve"> </v>
      </c>
      <c r="H567" s="1201"/>
      <c r="I567">
        <f t="shared" si="64"/>
        <v>0</v>
      </c>
      <c r="K567">
        <f t="shared" si="65"/>
        <v>0</v>
      </c>
      <c r="L567" s="1213"/>
      <c r="N567" s="1214" t="str">
        <f t="shared" si="68"/>
        <v xml:space="preserve"> </v>
      </c>
      <c r="O567" s="1215" t="str">
        <f t="shared" si="69"/>
        <v xml:space="preserve"> </v>
      </c>
      <c r="Q567">
        <f t="shared" si="70"/>
        <v>0</v>
      </c>
      <c r="R567">
        <f t="shared" si="71"/>
        <v>0</v>
      </c>
    </row>
    <row r="568" spans="2:18" x14ac:dyDescent="0.2">
      <c r="B568" s="1209"/>
      <c r="C568" s="1210"/>
      <c r="D568" s="939"/>
      <c r="E568" s="1211" t="str">
        <f t="shared" si="66"/>
        <v xml:space="preserve"> </v>
      </c>
      <c r="G568" s="1212" t="str">
        <f t="shared" si="67"/>
        <v xml:space="preserve"> </v>
      </c>
      <c r="H568" s="1201"/>
      <c r="I568">
        <f t="shared" si="64"/>
        <v>0</v>
      </c>
      <c r="K568">
        <f t="shared" si="65"/>
        <v>0</v>
      </c>
      <c r="L568" s="1213"/>
      <c r="N568" s="1214" t="str">
        <f t="shared" si="68"/>
        <v xml:space="preserve"> </v>
      </c>
      <c r="O568" s="1215" t="str">
        <f t="shared" si="69"/>
        <v xml:space="preserve"> </v>
      </c>
      <c r="Q568">
        <f t="shared" si="70"/>
        <v>0</v>
      </c>
      <c r="R568">
        <f t="shared" si="71"/>
        <v>0</v>
      </c>
    </row>
    <row r="569" spans="2:18" x14ac:dyDescent="0.2">
      <c r="B569" s="1209"/>
      <c r="C569" s="1210"/>
      <c r="D569" s="939"/>
      <c r="E569" s="1211" t="str">
        <f t="shared" si="66"/>
        <v xml:space="preserve"> </v>
      </c>
      <c r="G569" s="1212" t="str">
        <f t="shared" si="67"/>
        <v xml:space="preserve"> </v>
      </c>
      <c r="H569" s="1201"/>
      <c r="I569">
        <f t="shared" si="64"/>
        <v>0</v>
      </c>
      <c r="K569">
        <f t="shared" si="65"/>
        <v>0</v>
      </c>
      <c r="L569" s="1213"/>
      <c r="N569" s="1214" t="str">
        <f t="shared" si="68"/>
        <v xml:space="preserve"> </v>
      </c>
      <c r="O569" s="1215" t="str">
        <f t="shared" si="69"/>
        <v xml:space="preserve"> </v>
      </c>
      <c r="Q569">
        <f t="shared" si="70"/>
        <v>0</v>
      </c>
      <c r="R569">
        <f t="shared" si="71"/>
        <v>0</v>
      </c>
    </row>
    <row r="570" spans="2:18" x14ac:dyDescent="0.2">
      <c r="B570" s="1209"/>
      <c r="C570" s="1210"/>
      <c r="D570" s="939"/>
      <c r="E570" s="1211" t="str">
        <f t="shared" si="66"/>
        <v xml:space="preserve"> </v>
      </c>
      <c r="G570" s="1212" t="str">
        <f t="shared" si="67"/>
        <v xml:space="preserve"> </v>
      </c>
      <c r="H570" s="1201"/>
      <c r="I570">
        <f t="shared" si="64"/>
        <v>0</v>
      </c>
      <c r="K570">
        <f t="shared" si="65"/>
        <v>0</v>
      </c>
      <c r="L570" s="1213"/>
      <c r="N570" s="1214" t="str">
        <f t="shared" si="68"/>
        <v xml:space="preserve"> </v>
      </c>
      <c r="O570" s="1215" t="str">
        <f t="shared" si="69"/>
        <v xml:space="preserve"> </v>
      </c>
      <c r="Q570">
        <f t="shared" si="70"/>
        <v>0</v>
      </c>
      <c r="R570">
        <f t="shared" si="71"/>
        <v>0</v>
      </c>
    </row>
    <row r="571" spans="2:18" x14ac:dyDescent="0.2">
      <c r="B571" s="1209"/>
      <c r="C571" s="1210"/>
      <c r="D571" s="939"/>
      <c r="E571" s="1211" t="str">
        <f t="shared" si="66"/>
        <v xml:space="preserve"> </v>
      </c>
      <c r="G571" s="1212" t="str">
        <f t="shared" si="67"/>
        <v xml:space="preserve"> </v>
      </c>
      <c r="H571" s="1201"/>
      <c r="I571">
        <f t="shared" si="64"/>
        <v>0</v>
      </c>
      <c r="K571">
        <f t="shared" si="65"/>
        <v>0</v>
      </c>
      <c r="L571" s="1213"/>
      <c r="N571" s="1214" t="str">
        <f t="shared" si="68"/>
        <v xml:space="preserve"> </v>
      </c>
      <c r="O571" s="1215" t="str">
        <f t="shared" si="69"/>
        <v xml:space="preserve"> </v>
      </c>
      <c r="Q571">
        <f t="shared" si="70"/>
        <v>0</v>
      </c>
      <c r="R571">
        <f t="shared" si="71"/>
        <v>0</v>
      </c>
    </row>
    <row r="572" spans="2:18" x14ac:dyDescent="0.2">
      <c r="B572" s="1209"/>
      <c r="C572" s="1210"/>
      <c r="D572" s="939"/>
      <c r="E572" s="1211" t="str">
        <f t="shared" si="66"/>
        <v xml:space="preserve"> </v>
      </c>
      <c r="G572" s="1212" t="str">
        <f t="shared" si="67"/>
        <v xml:space="preserve"> </v>
      </c>
      <c r="H572" s="1201"/>
      <c r="I572">
        <f t="shared" si="64"/>
        <v>0</v>
      </c>
      <c r="K572">
        <f t="shared" si="65"/>
        <v>0</v>
      </c>
      <c r="L572" s="1213"/>
      <c r="N572" s="1214" t="str">
        <f t="shared" si="68"/>
        <v xml:space="preserve"> </v>
      </c>
      <c r="O572" s="1215" t="str">
        <f t="shared" si="69"/>
        <v xml:space="preserve"> </v>
      </c>
      <c r="Q572">
        <f t="shared" si="70"/>
        <v>0</v>
      </c>
      <c r="R572">
        <f t="shared" si="71"/>
        <v>0</v>
      </c>
    </row>
    <row r="573" spans="2:18" x14ac:dyDescent="0.2">
      <c r="B573" s="1209"/>
      <c r="C573" s="1210"/>
      <c r="D573" s="939"/>
      <c r="E573" s="1211" t="str">
        <f t="shared" si="66"/>
        <v xml:space="preserve"> </v>
      </c>
      <c r="G573" s="1212" t="str">
        <f t="shared" si="67"/>
        <v xml:space="preserve"> </v>
      </c>
      <c r="H573" s="1201"/>
      <c r="I573">
        <f t="shared" si="64"/>
        <v>0</v>
      </c>
      <c r="K573">
        <f t="shared" si="65"/>
        <v>0</v>
      </c>
      <c r="L573" s="1213"/>
      <c r="N573" s="1214" t="str">
        <f t="shared" si="68"/>
        <v xml:space="preserve"> </v>
      </c>
      <c r="O573" s="1215" t="str">
        <f t="shared" si="69"/>
        <v xml:space="preserve"> </v>
      </c>
      <c r="Q573">
        <f t="shared" si="70"/>
        <v>0</v>
      </c>
      <c r="R573">
        <f t="shared" si="71"/>
        <v>0</v>
      </c>
    </row>
    <row r="574" spans="2:18" x14ac:dyDescent="0.2">
      <c r="B574" s="1209"/>
      <c r="C574" s="1210"/>
      <c r="D574" s="939"/>
      <c r="E574" s="1211" t="str">
        <f t="shared" si="66"/>
        <v xml:space="preserve"> </v>
      </c>
      <c r="G574" s="1212" t="str">
        <f t="shared" si="67"/>
        <v xml:space="preserve"> </v>
      </c>
      <c r="H574" s="1201"/>
      <c r="I574">
        <f t="shared" si="64"/>
        <v>0</v>
      </c>
      <c r="K574">
        <f t="shared" si="65"/>
        <v>0</v>
      </c>
      <c r="L574" s="1213"/>
      <c r="N574" s="1214" t="str">
        <f t="shared" si="68"/>
        <v xml:space="preserve"> </v>
      </c>
      <c r="O574" s="1215" t="str">
        <f t="shared" si="69"/>
        <v xml:space="preserve"> </v>
      </c>
      <c r="Q574">
        <f t="shared" si="70"/>
        <v>0</v>
      </c>
      <c r="R574">
        <f t="shared" si="71"/>
        <v>0</v>
      </c>
    </row>
    <row r="575" spans="2:18" x14ac:dyDescent="0.2">
      <c r="B575" s="1209"/>
      <c r="C575" s="1210"/>
      <c r="D575" s="939"/>
      <c r="E575" s="1211" t="str">
        <f t="shared" si="66"/>
        <v xml:space="preserve"> </v>
      </c>
      <c r="G575" s="1212" t="str">
        <f t="shared" si="67"/>
        <v xml:space="preserve"> </v>
      </c>
      <c r="H575" s="1201"/>
      <c r="I575">
        <f t="shared" si="64"/>
        <v>0</v>
      </c>
      <c r="K575">
        <f t="shared" si="65"/>
        <v>0</v>
      </c>
      <c r="L575" s="1213"/>
      <c r="N575" s="1214" t="str">
        <f t="shared" si="68"/>
        <v xml:space="preserve"> </v>
      </c>
      <c r="O575" s="1215" t="str">
        <f t="shared" si="69"/>
        <v xml:space="preserve"> </v>
      </c>
      <c r="Q575">
        <f t="shared" si="70"/>
        <v>0</v>
      </c>
      <c r="R575">
        <f t="shared" si="71"/>
        <v>0</v>
      </c>
    </row>
    <row r="576" spans="2:18" x14ac:dyDescent="0.2">
      <c r="B576" s="1209"/>
      <c r="C576" s="1210"/>
      <c r="D576" s="939"/>
      <c r="E576" s="1211" t="str">
        <f t="shared" si="66"/>
        <v xml:space="preserve"> </v>
      </c>
      <c r="G576" s="1212" t="str">
        <f t="shared" si="67"/>
        <v xml:space="preserve"> </v>
      </c>
      <c r="H576" s="1201"/>
      <c r="I576">
        <f t="shared" si="64"/>
        <v>0</v>
      </c>
      <c r="K576">
        <f t="shared" si="65"/>
        <v>0</v>
      </c>
      <c r="L576" s="1213"/>
      <c r="N576" s="1214" t="str">
        <f t="shared" si="68"/>
        <v xml:space="preserve"> </v>
      </c>
      <c r="O576" s="1215" t="str">
        <f t="shared" si="69"/>
        <v xml:space="preserve"> </v>
      </c>
      <c r="Q576">
        <f t="shared" si="70"/>
        <v>0</v>
      </c>
      <c r="R576">
        <f t="shared" si="71"/>
        <v>0</v>
      </c>
    </row>
    <row r="577" spans="2:18" x14ac:dyDescent="0.2">
      <c r="B577" s="1209"/>
      <c r="C577" s="1210"/>
      <c r="D577" s="939"/>
      <c r="E577" s="1211" t="str">
        <f t="shared" si="66"/>
        <v xml:space="preserve"> </v>
      </c>
      <c r="G577" s="1212" t="str">
        <f t="shared" si="67"/>
        <v xml:space="preserve"> </v>
      </c>
      <c r="H577" s="1201"/>
      <c r="I577">
        <f t="shared" si="64"/>
        <v>0</v>
      </c>
      <c r="K577">
        <f t="shared" si="65"/>
        <v>0</v>
      </c>
      <c r="L577" s="1213"/>
      <c r="N577" s="1214" t="str">
        <f t="shared" si="68"/>
        <v xml:space="preserve"> </v>
      </c>
      <c r="O577" s="1215" t="str">
        <f t="shared" si="69"/>
        <v xml:space="preserve"> </v>
      </c>
      <c r="Q577">
        <f t="shared" si="70"/>
        <v>0</v>
      </c>
      <c r="R577">
        <f t="shared" si="71"/>
        <v>0</v>
      </c>
    </row>
    <row r="578" spans="2:18" x14ac:dyDescent="0.2">
      <c r="B578" s="1209"/>
      <c r="C578" s="1210"/>
      <c r="D578" s="939"/>
      <c r="E578" s="1211" t="str">
        <f t="shared" si="66"/>
        <v xml:space="preserve"> </v>
      </c>
      <c r="G578" s="1212" t="str">
        <f t="shared" si="67"/>
        <v xml:space="preserve"> </v>
      </c>
      <c r="H578" s="1201"/>
      <c r="I578">
        <f t="shared" si="64"/>
        <v>0</v>
      </c>
      <c r="K578">
        <f t="shared" si="65"/>
        <v>0</v>
      </c>
      <c r="L578" s="1213"/>
      <c r="N578" s="1214" t="str">
        <f t="shared" si="68"/>
        <v xml:space="preserve"> </v>
      </c>
      <c r="O578" s="1215" t="str">
        <f t="shared" si="69"/>
        <v xml:space="preserve"> </v>
      </c>
      <c r="Q578">
        <f t="shared" si="70"/>
        <v>0</v>
      </c>
      <c r="R578">
        <f t="shared" si="71"/>
        <v>0</v>
      </c>
    </row>
    <row r="579" spans="2:18" x14ac:dyDescent="0.2">
      <c r="B579" s="1209"/>
      <c r="C579" s="1210"/>
      <c r="D579" s="939"/>
      <c r="E579" s="1211" t="str">
        <f t="shared" si="66"/>
        <v xml:space="preserve"> </v>
      </c>
      <c r="G579" s="1212" t="str">
        <f t="shared" si="67"/>
        <v xml:space="preserve"> </v>
      </c>
      <c r="H579" s="1201"/>
      <c r="I579">
        <f t="shared" si="64"/>
        <v>0</v>
      </c>
      <c r="K579">
        <f t="shared" si="65"/>
        <v>0</v>
      </c>
      <c r="L579" s="1213"/>
      <c r="N579" s="1214" t="str">
        <f t="shared" si="68"/>
        <v xml:space="preserve"> </v>
      </c>
      <c r="O579" s="1215" t="str">
        <f t="shared" si="69"/>
        <v xml:space="preserve"> </v>
      </c>
      <c r="Q579">
        <f t="shared" si="70"/>
        <v>0</v>
      </c>
      <c r="R579">
        <f t="shared" si="71"/>
        <v>0</v>
      </c>
    </row>
    <row r="580" spans="2:18" x14ac:dyDescent="0.2">
      <c r="B580" s="1209"/>
      <c r="C580" s="1210"/>
      <c r="D580" s="939"/>
      <c r="E580" s="1211" t="str">
        <f t="shared" si="66"/>
        <v xml:space="preserve"> </v>
      </c>
      <c r="G580" s="1212" t="str">
        <f t="shared" si="67"/>
        <v xml:space="preserve"> </v>
      </c>
      <c r="H580" s="1201"/>
      <c r="I580">
        <f t="shared" si="64"/>
        <v>0</v>
      </c>
      <c r="K580">
        <f t="shared" si="65"/>
        <v>0</v>
      </c>
      <c r="L580" s="1213"/>
      <c r="N580" s="1214" t="str">
        <f t="shared" si="68"/>
        <v xml:space="preserve"> </v>
      </c>
      <c r="O580" s="1215" t="str">
        <f t="shared" si="69"/>
        <v xml:space="preserve"> </v>
      </c>
      <c r="Q580">
        <f t="shared" si="70"/>
        <v>0</v>
      </c>
      <c r="R580">
        <f t="shared" si="71"/>
        <v>0</v>
      </c>
    </row>
    <row r="581" spans="2:18" x14ac:dyDescent="0.2">
      <c r="B581" s="1209"/>
      <c r="C581" s="1210"/>
      <c r="D581" s="939"/>
      <c r="E581" s="1211" t="str">
        <f t="shared" si="66"/>
        <v xml:space="preserve"> </v>
      </c>
      <c r="G581" s="1212" t="str">
        <f t="shared" si="67"/>
        <v xml:space="preserve"> </v>
      </c>
      <c r="H581" s="1201"/>
      <c r="I581">
        <f t="shared" si="64"/>
        <v>0</v>
      </c>
      <c r="K581">
        <f t="shared" si="65"/>
        <v>0</v>
      </c>
      <c r="L581" s="1213"/>
      <c r="N581" s="1214" t="str">
        <f t="shared" si="68"/>
        <v xml:space="preserve"> </v>
      </c>
      <c r="O581" s="1215" t="str">
        <f t="shared" si="69"/>
        <v xml:space="preserve"> </v>
      </c>
      <c r="Q581">
        <f t="shared" si="70"/>
        <v>0</v>
      </c>
      <c r="R581">
        <f t="shared" si="71"/>
        <v>0</v>
      </c>
    </row>
    <row r="582" spans="2:18" x14ac:dyDescent="0.2">
      <c r="B582" s="1209"/>
      <c r="C582" s="1210"/>
      <c r="D582" s="939"/>
      <c r="E582" s="1211" t="str">
        <f t="shared" si="66"/>
        <v xml:space="preserve"> </v>
      </c>
      <c r="G582" s="1212" t="str">
        <f t="shared" si="67"/>
        <v xml:space="preserve"> </v>
      </c>
      <c r="H582" s="1201"/>
      <c r="I582">
        <f t="shared" si="64"/>
        <v>0</v>
      </c>
      <c r="K582">
        <f t="shared" si="65"/>
        <v>0</v>
      </c>
      <c r="L582" s="1213"/>
      <c r="N582" s="1214" t="str">
        <f t="shared" si="68"/>
        <v xml:space="preserve"> </v>
      </c>
      <c r="O582" s="1215" t="str">
        <f t="shared" si="69"/>
        <v xml:space="preserve"> </v>
      </c>
      <c r="Q582">
        <f t="shared" si="70"/>
        <v>0</v>
      </c>
      <c r="R582">
        <f t="shared" si="71"/>
        <v>0</v>
      </c>
    </row>
    <row r="583" spans="2:18" x14ac:dyDescent="0.2">
      <c r="B583" s="1209"/>
      <c r="C583" s="1210"/>
      <c r="D583" s="939"/>
      <c r="E583" s="1211" t="str">
        <f t="shared" si="66"/>
        <v xml:space="preserve"> </v>
      </c>
      <c r="G583" s="1212" t="str">
        <f t="shared" si="67"/>
        <v xml:space="preserve"> </v>
      </c>
      <c r="H583" s="1201"/>
      <c r="I583">
        <f t="shared" si="64"/>
        <v>0</v>
      </c>
      <c r="K583">
        <f t="shared" si="65"/>
        <v>0</v>
      </c>
      <c r="L583" s="1213"/>
      <c r="N583" s="1214" t="str">
        <f t="shared" si="68"/>
        <v xml:space="preserve"> </v>
      </c>
      <c r="O583" s="1215" t="str">
        <f t="shared" si="69"/>
        <v xml:space="preserve"> </v>
      </c>
      <c r="Q583">
        <f t="shared" si="70"/>
        <v>0</v>
      </c>
      <c r="R583">
        <f t="shared" si="71"/>
        <v>0</v>
      </c>
    </row>
    <row r="584" spans="2:18" x14ac:dyDescent="0.2">
      <c r="B584" s="1209"/>
      <c r="C584" s="1210"/>
      <c r="D584" s="939"/>
      <c r="E584" s="1211" t="str">
        <f t="shared" si="66"/>
        <v xml:space="preserve"> </v>
      </c>
      <c r="G584" s="1212" t="str">
        <f t="shared" si="67"/>
        <v xml:space="preserve"> </v>
      </c>
      <c r="H584" s="1201"/>
      <c r="I584">
        <f t="shared" ref="I584:I647" si="72">(J584+C584)/12</f>
        <v>0</v>
      </c>
      <c r="K584">
        <f t="shared" ref="K584:K647" si="73">I584+B584</f>
        <v>0</v>
      </c>
      <c r="L584" s="1213"/>
      <c r="N584" s="1214" t="str">
        <f t="shared" si="68"/>
        <v xml:space="preserve"> </v>
      </c>
      <c r="O584" s="1215" t="str">
        <f t="shared" si="69"/>
        <v xml:space="preserve"> </v>
      </c>
      <c r="Q584">
        <f t="shared" si="70"/>
        <v>0</v>
      </c>
      <c r="R584">
        <f t="shared" si="71"/>
        <v>0</v>
      </c>
    </row>
    <row r="585" spans="2:18" x14ac:dyDescent="0.2">
      <c r="B585" s="1209"/>
      <c r="C585" s="1210"/>
      <c r="D585" s="939"/>
      <c r="E585" s="1211" t="str">
        <f t="shared" si="66"/>
        <v xml:space="preserve"> </v>
      </c>
      <c r="G585" s="1212" t="str">
        <f t="shared" si="67"/>
        <v xml:space="preserve"> </v>
      </c>
      <c r="H585" s="1201"/>
      <c r="I585">
        <f t="shared" si="72"/>
        <v>0</v>
      </c>
      <c r="K585">
        <f t="shared" si="73"/>
        <v>0</v>
      </c>
      <c r="L585" s="1213"/>
      <c r="N585" s="1214" t="str">
        <f t="shared" si="68"/>
        <v xml:space="preserve"> </v>
      </c>
      <c r="O585" s="1215" t="str">
        <f t="shared" si="69"/>
        <v xml:space="preserve"> </v>
      </c>
      <c r="Q585">
        <f t="shared" si="70"/>
        <v>0</v>
      </c>
      <c r="R585">
        <f t="shared" si="71"/>
        <v>0</v>
      </c>
    </row>
    <row r="586" spans="2:18" x14ac:dyDescent="0.2">
      <c r="B586" s="1209"/>
      <c r="C586" s="1210"/>
      <c r="D586" s="939"/>
      <c r="E586" s="1211" t="str">
        <f t="shared" ref="E586:E649" si="74">IF(K586=0," ",IF(K586&gt;0,K586*12*25.4))</f>
        <v xml:space="preserve"> </v>
      </c>
      <c r="G586" s="1212" t="str">
        <f t="shared" ref="G586:G649" si="75">IF(K586=0," ",IF(K586&gt;0,E586/1000))</f>
        <v xml:space="preserve"> </v>
      </c>
      <c r="H586" s="1201"/>
      <c r="I586">
        <f t="shared" si="72"/>
        <v>0</v>
      </c>
      <c r="K586">
        <f t="shared" si="73"/>
        <v>0</v>
      </c>
      <c r="L586" s="1213"/>
      <c r="N586" s="1214" t="str">
        <f t="shared" ref="N586:N649" si="76">IF(R586=0," ",IF(R586&gt;0,TRUNC(R586)))</f>
        <v xml:space="preserve"> </v>
      </c>
      <c r="O586" s="1215" t="str">
        <f t="shared" ref="O586:O649" si="77">IF(R586=0," ",IF(R586&gt;0,(R586-N586)*12))</f>
        <v xml:space="preserve"> </v>
      </c>
      <c r="Q586">
        <f t="shared" ref="Q586:Q649" si="78">L586/25.4</f>
        <v>0</v>
      </c>
      <c r="R586">
        <f t="shared" ref="R586:R649" si="79">Q586/12</f>
        <v>0</v>
      </c>
    </row>
    <row r="587" spans="2:18" x14ac:dyDescent="0.2">
      <c r="B587" s="1209"/>
      <c r="C587" s="1210"/>
      <c r="D587" s="939"/>
      <c r="E587" s="1211" t="str">
        <f t="shared" si="74"/>
        <v xml:space="preserve"> </v>
      </c>
      <c r="G587" s="1212" t="str">
        <f t="shared" si="75"/>
        <v xml:space="preserve"> </v>
      </c>
      <c r="H587" s="1201"/>
      <c r="I587">
        <f t="shared" si="72"/>
        <v>0</v>
      </c>
      <c r="K587">
        <f t="shared" si="73"/>
        <v>0</v>
      </c>
      <c r="L587" s="1213"/>
      <c r="N587" s="1214" t="str">
        <f t="shared" si="76"/>
        <v xml:space="preserve"> </v>
      </c>
      <c r="O587" s="1215" t="str">
        <f t="shared" si="77"/>
        <v xml:space="preserve"> </v>
      </c>
      <c r="Q587">
        <f t="shared" si="78"/>
        <v>0</v>
      </c>
      <c r="R587">
        <f t="shared" si="79"/>
        <v>0</v>
      </c>
    </row>
    <row r="588" spans="2:18" x14ac:dyDescent="0.2">
      <c r="B588" s="1209"/>
      <c r="C588" s="1210"/>
      <c r="D588" s="939"/>
      <c r="E588" s="1211" t="str">
        <f t="shared" si="74"/>
        <v xml:space="preserve"> </v>
      </c>
      <c r="G588" s="1212" t="str">
        <f t="shared" si="75"/>
        <v xml:space="preserve"> </v>
      </c>
      <c r="H588" s="1201"/>
      <c r="I588">
        <f t="shared" si="72"/>
        <v>0</v>
      </c>
      <c r="K588">
        <f t="shared" si="73"/>
        <v>0</v>
      </c>
      <c r="L588" s="1213"/>
      <c r="N588" s="1214" t="str">
        <f t="shared" si="76"/>
        <v xml:space="preserve"> </v>
      </c>
      <c r="O588" s="1215" t="str">
        <f t="shared" si="77"/>
        <v xml:space="preserve"> </v>
      </c>
      <c r="Q588">
        <f t="shared" si="78"/>
        <v>0</v>
      </c>
      <c r="R588">
        <f t="shared" si="79"/>
        <v>0</v>
      </c>
    </row>
    <row r="589" spans="2:18" x14ac:dyDescent="0.2">
      <c r="B589" s="1209"/>
      <c r="C589" s="1210"/>
      <c r="D589" s="939"/>
      <c r="E589" s="1211" t="str">
        <f t="shared" si="74"/>
        <v xml:space="preserve"> </v>
      </c>
      <c r="G589" s="1212" t="str">
        <f t="shared" si="75"/>
        <v xml:space="preserve"> </v>
      </c>
      <c r="H589" s="1201"/>
      <c r="I589">
        <f t="shared" si="72"/>
        <v>0</v>
      </c>
      <c r="K589">
        <f t="shared" si="73"/>
        <v>0</v>
      </c>
      <c r="L589" s="1213"/>
      <c r="N589" s="1214" t="str">
        <f t="shared" si="76"/>
        <v xml:space="preserve"> </v>
      </c>
      <c r="O589" s="1215" t="str">
        <f t="shared" si="77"/>
        <v xml:space="preserve"> </v>
      </c>
      <c r="Q589">
        <f t="shared" si="78"/>
        <v>0</v>
      </c>
      <c r="R589">
        <f t="shared" si="79"/>
        <v>0</v>
      </c>
    </row>
    <row r="590" spans="2:18" x14ac:dyDescent="0.2">
      <c r="B590" s="1209"/>
      <c r="C590" s="1210"/>
      <c r="D590" s="939"/>
      <c r="E590" s="1211" t="str">
        <f t="shared" si="74"/>
        <v xml:space="preserve"> </v>
      </c>
      <c r="G590" s="1212" t="str">
        <f t="shared" si="75"/>
        <v xml:space="preserve"> </v>
      </c>
      <c r="H590" s="1201"/>
      <c r="I590">
        <f t="shared" si="72"/>
        <v>0</v>
      </c>
      <c r="K590">
        <f t="shared" si="73"/>
        <v>0</v>
      </c>
      <c r="L590" s="1213"/>
      <c r="N590" s="1214" t="str">
        <f t="shared" si="76"/>
        <v xml:space="preserve"> </v>
      </c>
      <c r="O590" s="1215" t="str">
        <f t="shared" si="77"/>
        <v xml:space="preserve"> </v>
      </c>
      <c r="Q590">
        <f t="shared" si="78"/>
        <v>0</v>
      </c>
      <c r="R590">
        <f t="shared" si="79"/>
        <v>0</v>
      </c>
    </row>
    <row r="591" spans="2:18" x14ac:dyDescent="0.2">
      <c r="B591" s="1209"/>
      <c r="C591" s="1210"/>
      <c r="D591" s="939"/>
      <c r="E591" s="1211" t="str">
        <f t="shared" si="74"/>
        <v xml:space="preserve"> </v>
      </c>
      <c r="G591" s="1212" t="str">
        <f t="shared" si="75"/>
        <v xml:space="preserve"> </v>
      </c>
      <c r="H591" s="1201"/>
      <c r="I591">
        <f t="shared" si="72"/>
        <v>0</v>
      </c>
      <c r="K591">
        <f t="shared" si="73"/>
        <v>0</v>
      </c>
      <c r="L591" s="1213"/>
      <c r="N591" s="1214" t="str">
        <f t="shared" si="76"/>
        <v xml:space="preserve"> </v>
      </c>
      <c r="O591" s="1215" t="str">
        <f t="shared" si="77"/>
        <v xml:space="preserve"> </v>
      </c>
      <c r="Q591">
        <f t="shared" si="78"/>
        <v>0</v>
      </c>
      <c r="R591">
        <f t="shared" si="79"/>
        <v>0</v>
      </c>
    </row>
    <row r="592" spans="2:18" x14ac:dyDescent="0.2">
      <c r="B592" s="1209"/>
      <c r="C592" s="1210"/>
      <c r="D592" s="939"/>
      <c r="E592" s="1211" t="str">
        <f t="shared" si="74"/>
        <v xml:space="preserve"> </v>
      </c>
      <c r="G592" s="1212" t="str">
        <f t="shared" si="75"/>
        <v xml:space="preserve"> </v>
      </c>
      <c r="H592" s="1201"/>
      <c r="I592">
        <f t="shared" si="72"/>
        <v>0</v>
      </c>
      <c r="K592">
        <f t="shared" si="73"/>
        <v>0</v>
      </c>
      <c r="L592" s="1213"/>
      <c r="N592" s="1214" t="str">
        <f t="shared" si="76"/>
        <v xml:space="preserve"> </v>
      </c>
      <c r="O592" s="1215" t="str">
        <f t="shared" si="77"/>
        <v xml:space="preserve"> </v>
      </c>
      <c r="Q592">
        <f t="shared" si="78"/>
        <v>0</v>
      </c>
      <c r="R592">
        <f t="shared" si="79"/>
        <v>0</v>
      </c>
    </row>
    <row r="593" spans="2:18" x14ac:dyDescent="0.2">
      <c r="B593" s="1209"/>
      <c r="C593" s="1210"/>
      <c r="D593" s="939"/>
      <c r="E593" s="1211" t="str">
        <f t="shared" si="74"/>
        <v xml:space="preserve"> </v>
      </c>
      <c r="G593" s="1212" t="str">
        <f t="shared" si="75"/>
        <v xml:space="preserve"> </v>
      </c>
      <c r="H593" s="1201"/>
      <c r="I593">
        <f t="shared" si="72"/>
        <v>0</v>
      </c>
      <c r="K593">
        <f t="shared" si="73"/>
        <v>0</v>
      </c>
      <c r="L593" s="1213"/>
      <c r="N593" s="1214" t="str">
        <f t="shared" si="76"/>
        <v xml:space="preserve"> </v>
      </c>
      <c r="O593" s="1215" t="str">
        <f t="shared" si="77"/>
        <v xml:space="preserve"> </v>
      </c>
      <c r="Q593">
        <f t="shared" si="78"/>
        <v>0</v>
      </c>
      <c r="R593">
        <f t="shared" si="79"/>
        <v>0</v>
      </c>
    </row>
    <row r="594" spans="2:18" x14ac:dyDescent="0.2">
      <c r="B594" s="1209"/>
      <c r="C594" s="1210"/>
      <c r="D594" s="939"/>
      <c r="E594" s="1211" t="str">
        <f t="shared" si="74"/>
        <v xml:space="preserve"> </v>
      </c>
      <c r="G594" s="1212" t="str">
        <f t="shared" si="75"/>
        <v xml:space="preserve"> </v>
      </c>
      <c r="H594" s="1201"/>
      <c r="I594">
        <f t="shared" si="72"/>
        <v>0</v>
      </c>
      <c r="K594">
        <f t="shared" si="73"/>
        <v>0</v>
      </c>
      <c r="L594" s="1213"/>
      <c r="N594" s="1214" t="str">
        <f t="shared" si="76"/>
        <v xml:space="preserve"> </v>
      </c>
      <c r="O594" s="1215" t="str">
        <f t="shared" si="77"/>
        <v xml:space="preserve"> </v>
      </c>
      <c r="Q594">
        <f t="shared" si="78"/>
        <v>0</v>
      </c>
      <c r="R594">
        <f t="shared" si="79"/>
        <v>0</v>
      </c>
    </row>
    <row r="595" spans="2:18" x14ac:dyDescent="0.2">
      <c r="B595" s="1209"/>
      <c r="C595" s="1210"/>
      <c r="D595" s="939"/>
      <c r="E595" s="1211" t="str">
        <f t="shared" si="74"/>
        <v xml:space="preserve"> </v>
      </c>
      <c r="G595" s="1212" t="str">
        <f t="shared" si="75"/>
        <v xml:space="preserve"> </v>
      </c>
      <c r="H595" s="1201"/>
      <c r="I595">
        <f t="shared" si="72"/>
        <v>0</v>
      </c>
      <c r="K595">
        <f t="shared" si="73"/>
        <v>0</v>
      </c>
      <c r="L595" s="1213"/>
      <c r="N595" s="1214" t="str">
        <f t="shared" si="76"/>
        <v xml:space="preserve"> </v>
      </c>
      <c r="O595" s="1215" t="str">
        <f t="shared" si="77"/>
        <v xml:space="preserve"> </v>
      </c>
      <c r="Q595">
        <f t="shared" si="78"/>
        <v>0</v>
      </c>
      <c r="R595">
        <f t="shared" si="79"/>
        <v>0</v>
      </c>
    </row>
    <row r="596" spans="2:18" x14ac:dyDescent="0.2">
      <c r="B596" s="1209"/>
      <c r="C596" s="1210"/>
      <c r="D596" s="939"/>
      <c r="E596" s="1211" t="str">
        <f t="shared" si="74"/>
        <v xml:space="preserve"> </v>
      </c>
      <c r="G596" s="1212" t="str">
        <f t="shared" si="75"/>
        <v xml:space="preserve"> </v>
      </c>
      <c r="H596" s="1201"/>
      <c r="I596">
        <f t="shared" si="72"/>
        <v>0</v>
      </c>
      <c r="K596">
        <f t="shared" si="73"/>
        <v>0</v>
      </c>
      <c r="L596" s="1213"/>
      <c r="N596" s="1214" t="str">
        <f t="shared" si="76"/>
        <v xml:space="preserve"> </v>
      </c>
      <c r="O596" s="1215" t="str">
        <f t="shared" si="77"/>
        <v xml:space="preserve"> </v>
      </c>
      <c r="Q596">
        <f t="shared" si="78"/>
        <v>0</v>
      </c>
      <c r="R596">
        <f t="shared" si="79"/>
        <v>0</v>
      </c>
    </row>
    <row r="597" spans="2:18" x14ac:dyDescent="0.2">
      <c r="B597" s="1209"/>
      <c r="C597" s="1210"/>
      <c r="D597" s="939"/>
      <c r="E597" s="1211" t="str">
        <f t="shared" si="74"/>
        <v xml:space="preserve"> </v>
      </c>
      <c r="G597" s="1212" t="str">
        <f t="shared" si="75"/>
        <v xml:space="preserve"> </v>
      </c>
      <c r="H597" s="1201"/>
      <c r="I597">
        <f t="shared" si="72"/>
        <v>0</v>
      </c>
      <c r="K597">
        <f t="shared" si="73"/>
        <v>0</v>
      </c>
      <c r="L597" s="1213"/>
      <c r="N597" s="1214" t="str">
        <f t="shared" si="76"/>
        <v xml:space="preserve"> </v>
      </c>
      <c r="O597" s="1215" t="str">
        <f t="shared" si="77"/>
        <v xml:space="preserve"> </v>
      </c>
      <c r="Q597">
        <f t="shared" si="78"/>
        <v>0</v>
      </c>
      <c r="R597">
        <f t="shared" si="79"/>
        <v>0</v>
      </c>
    </row>
    <row r="598" spans="2:18" x14ac:dyDescent="0.2">
      <c r="B598" s="1209"/>
      <c r="C598" s="1210"/>
      <c r="D598" s="939"/>
      <c r="E598" s="1211" t="str">
        <f t="shared" si="74"/>
        <v xml:space="preserve"> </v>
      </c>
      <c r="G598" s="1212" t="str">
        <f t="shared" si="75"/>
        <v xml:space="preserve"> </v>
      </c>
      <c r="H598" s="1201"/>
      <c r="I598">
        <f t="shared" si="72"/>
        <v>0</v>
      </c>
      <c r="K598">
        <f t="shared" si="73"/>
        <v>0</v>
      </c>
      <c r="L598" s="1213"/>
      <c r="N598" s="1214" t="str">
        <f t="shared" si="76"/>
        <v xml:space="preserve"> </v>
      </c>
      <c r="O598" s="1215" t="str">
        <f t="shared" si="77"/>
        <v xml:space="preserve"> </v>
      </c>
      <c r="Q598">
        <f t="shared" si="78"/>
        <v>0</v>
      </c>
      <c r="R598">
        <f t="shared" si="79"/>
        <v>0</v>
      </c>
    </row>
    <row r="599" spans="2:18" x14ac:dyDescent="0.2">
      <c r="B599" s="1209"/>
      <c r="C599" s="1210"/>
      <c r="D599" s="939"/>
      <c r="E599" s="1211" t="str">
        <f t="shared" si="74"/>
        <v xml:space="preserve"> </v>
      </c>
      <c r="G599" s="1212" t="str">
        <f t="shared" si="75"/>
        <v xml:space="preserve"> </v>
      </c>
      <c r="H599" s="1201"/>
      <c r="I599">
        <f t="shared" si="72"/>
        <v>0</v>
      </c>
      <c r="K599">
        <f t="shared" si="73"/>
        <v>0</v>
      </c>
      <c r="L599" s="1213"/>
      <c r="N599" s="1214" t="str">
        <f t="shared" si="76"/>
        <v xml:space="preserve"> </v>
      </c>
      <c r="O599" s="1215" t="str">
        <f t="shared" si="77"/>
        <v xml:space="preserve"> </v>
      </c>
      <c r="Q599">
        <f t="shared" si="78"/>
        <v>0</v>
      </c>
      <c r="R599">
        <f t="shared" si="79"/>
        <v>0</v>
      </c>
    </row>
    <row r="600" spans="2:18" x14ac:dyDescent="0.2">
      <c r="B600" s="1209"/>
      <c r="C600" s="1210"/>
      <c r="D600" s="939"/>
      <c r="E600" s="1211" t="str">
        <f t="shared" si="74"/>
        <v xml:space="preserve"> </v>
      </c>
      <c r="G600" s="1212" t="str">
        <f t="shared" si="75"/>
        <v xml:space="preserve"> </v>
      </c>
      <c r="H600" s="1201"/>
      <c r="I600">
        <f t="shared" si="72"/>
        <v>0</v>
      </c>
      <c r="K600">
        <f t="shared" si="73"/>
        <v>0</v>
      </c>
      <c r="L600" s="1213"/>
      <c r="N600" s="1214" t="str">
        <f t="shared" si="76"/>
        <v xml:space="preserve"> </v>
      </c>
      <c r="O600" s="1215" t="str">
        <f t="shared" si="77"/>
        <v xml:space="preserve"> </v>
      </c>
      <c r="Q600">
        <f t="shared" si="78"/>
        <v>0</v>
      </c>
      <c r="R600">
        <f t="shared" si="79"/>
        <v>0</v>
      </c>
    </row>
    <row r="601" spans="2:18" x14ac:dyDescent="0.2">
      <c r="B601" s="1209"/>
      <c r="C601" s="1210"/>
      <c r="D601" s="939"/>
      <c r="E601" s="1211" t="str">
        <f t="shared" si="74"/>
        <v xml:space="preserve"> </v>
      </c>
      <c r="G601" s="1212" t="str">
        <f t="shared" si="75"/>
        <v xml:space="preserve"> </v>
      </c>
      <c r="H601" s="1201"/>
      <c r="I601">
        <f t="shared" si="72"/>
        <v>0</v>
      </c>
      <c r="K601">
        <f t="shared" si="73"/>
        <v>0</v>
      </c>
      <c r="L601" s="1213"/>
      <c r="N601" s="1214" t="str">
        <f t="shared" si="76"/>
        <v xml:space="preserve"> </v>
      </c>
      <c r="O601" s="1215" t="str">
        <f t="shared" si="77"/>
        <v xml:space="preserve"> </v>
      </c>
      <c r="Q601">
        <f t="shared" si="78"/>
        <v>0</v>
      </c>
      <c r="R601">
        <f t="shared" si="79"/>
        <v>0</v>
      </c>
    </row>
    <row r="602" spans="2:18" x14ac:dyDescent="0.2">
      <c r="B602" s="1209"/>
      <c r="C602" s="1210"/>
      <c r="D602" s="939"/>
      <c r="E602" s="1211" t="str">
        <f t="shared" si="74"/>
        <v xml:space="preserve"> </v>
      </c>
      <c r="G602" s="1212" t="str">
        <f t="shared" si="75"/>
        <v xml:space="preserve"> </v>
      </c>
      <c r="H602" s="1201"/>
      <c r="I602">
        <f t="shared" si="72"/>
        <v>0</v>
      </c>
      <c r="K602">
        <f t="shared" si="73"/>
        <v>0</v>
      </c>
      <c r="L602" s="1213"/>
      <c r="N602" s="1214" t="str">
        <f t="shared" si="76"/>
        <v xml:space="preserve"> </v>
      </c>
      <c r="O602" s="1215" t="str">
        <f t="shared" si="77"/>
        <v xml:space="preserve"> </v>
      </c>
      <c r="Q602">
        <f t="shared" si="78"/>
        <v>0</v>
      </c>
      <c r="R602">
        <f t="shared" si="79"/>
        <v>0</v>
      </c>
    </row>
    <row r="603" spans="2:18" x14ac:dyDescent="0.2">
      <c r="B603" s="1209"/>
      <c r="C603" s="1210"/>
      <c r="D603" s="939"/>
      <c r="E603" s="1211" t="str">
        <f t="shared" si="74"/>
        <v xml:space="preserve"> </v>
      </c>
      <c r="G603" s="1212" t="str">
        <f t="shared" si="75"/>
        <v xml:space="preserve"> </v>
      </c>
      <c r="H603" s="1201"/>
      <c r="I603">
        <f t="shared" si="72"/>
        <v>0</v>
      </c>
      <c r="K603">
        <f t="shared" si="73"/>
        <v>0</v>
      </c>
      <c r="L603" s="1213"/>
      <c r="N603" s="1214" t="str">
        <f t="shared" si="76"/>
        <v xml:space="preserve"> </v>
      </c>
      <c r="O603" s="1215" t="str">
        <f t="shared" si="77"/>
        <v xml:space="preserve"> </v>
      </c>
      <c r="Q603">
        <f t="shared" si="78"/>
        <v>0</v>
      </c>
      <c r="R603">
        <f t="shared" si="79"/>
        <v>0</v>
      </c>
    </row>
    <row r="604" spans="2:18" x14ac:dyDescent="0.2">
      <c r="B604" s="1209"/>
      <c r="C604" s="1210"/>
      <c r="D604" s="939"/>
      <c r="E604" s="1211" t="str">
        <f t="shared" si="74"/>
        <v xml:space="preserve"> </v>
      </c>
      <c r="G604" s="1212" t="str">
        <f t="shared" si="75"/>
        <v xml:space="preserve"> </v>
      </c>
      <c r="H604" s="1201"/>
      <c r="I604">
        <f t="shared" si="72"/>
        <v>0</v>
      </c>
      <c r="K604">
        <f t="shared" si="73"/>
        <v>0</v>
      </c>
      <c r="L604" s="1213"/>
      <c r="N604" s="1214" t="str">
        <f t="shared" si="76"/>
        <v xml:space="preserve"> </v>
      </c>
      <c r="O604" s="1215" t="str">
        <f t="shared" si="77"/>
        <v xml:space="preserve"> </v>
      </c>
      <c r="Q604">
        <f t="shared" si="78"/>
        <v>0</v>
      </c>
      <c r="R604">
        <f t="shared" si="79"/>
        <v>0</v>
      </c>
    </row>
    <row r="605" spans="2:18" x14ac:dyDescent="0.2">
      <c r="B605" s="1209"/>
      <c r="C605" s="1210"/>
      <c r="D605" s="939"/>
      <c r="E605" s="1211" t="str">
        <f t="shared" si="74"/>
        <v xml:space="preserve"> </v>
      </c>
      <c r="G605" s="1212" t="str">
        <f t="shared" si="75"/>
        <v xml:space="preserve"> </v>
      </c>
      <c r="H605" s="1201"/>
      <c r="I605">
        <f t="shared" si="72"/>
        <v>0</v>
      </c>
      <c r="K605">
        <f t="shared" si="73"/>
        <v>0</v>
      </c>
      <c r="L605" s="1213"/>
      <c r="N605" s="1214" t="str">
        <f t="shared" si="76"/>
        <v xml:space="preserve"> </v>
      </c>
      <c r="O605" s="1215" t="str">
        <f t="shared" si="77"/>
        <v xml:space="preserve"> </v>
      </c>
      <c r="Q605">
        <f t="shared" si="78"/>
        <v>0</v>
      </c>
      <c r="R605">
        <f t="shared" si="79"/>
        <v>0</v>
      </c>
    </row>
    <row r="606" spans="2:18" x14ac:dyDescent="0.2">
      <c r="B606" s="1209"/>
      <c r="C606" s="1210"/>
      <c r="D606" s="939"/>
      <c r="E606" s="1211" t="str">
        <f t="shared" si="74"/>
        <v xml:space="preserve"> </v>
      </c>
      <c r="G606" s="1212" t="str">
        <f t="shared" si="75"/>
        <v xml:space="preserve"> </v>
      </c>
      <c r="H606" s="1201"/>
      <c r="I606">
        <f t="shared" si="72"/>
        <v>0</v>
      </c>
      <c r="K606">
        <f t="shared" si="73"/>
        <v>0</v>
      </c>
      <c r="L606" s="1213"/>
      <c r="N606" s="1214" t="str">
        <f t="shared" si="76"/>
        <v xml:space="preserve"> </v>
      </c>
      <c r="O606" s="1215" t="str">
        <f t="shared" si="77"/>
        <v xml:space="preserve"> </v>
      </c>
      <c r="Q606">
        <f t="shared" si="78"/>
        <v>0</v>
      </c>
      <c r="R606">
        <f t="shared" si="79"/>
        <v>0</v>
      </c>
    </row>
    <row r="607" spans="2:18" x14ac:dyDescent="0.2">
      <c r="B607" s="1209"/>
      <c r="C607" s="1210"/>
      <c r="D607" s="939"/>
      <c r="E607" s="1211" t="str">
        <f t="shared" si="74"/>
        <v xml:space="preserve"> </v>
      </c>
      <c r="G607" s="1212" t="str">
        <f t="shared" si="75"/>
        <v xml:space="preserve"> </v>
      </c>
      <c r="H607" s="1201"/>
      <c r="I607">
        <f t="shared" si="72"/>
        <v>0</v>
      </c>
      <c r="K607">
        <f t="shared" si="73"/>
        <v>0</v>
      </c>
      <c r="L607" s="1213"/>
      <c r="N607" s="1214" t="str">
        <f t="shared" si="76"/>
        <v xml:space="preserve"> </v>
      </c>
      <c r="O607" s="1215" t="str">
        <f t="shared" si="77"/>
        <v xml:space="preserve"> </v>
      </c>
      <c r="Q607">
        <f t="shared" si="78"/>
        <v>0</v>
      </c>
      <c r="R607">
        <f t="shared" si="79"/>
        <v>0</v>
      </c>
    </row>
    <row r="608" spans="2:18" x14ac:dyDescent="0.2">
      <c r="B608" s="1209"/>
      <c r="C608" s="1210"/>
      <c r="D608" s="939"/>
      <c r="E608" s="1211" t="str">
        <f t="shared" si="74"/>
        <v xml:space="preserve"> </v>
      </c>
      <c r="G608" s="1212" t="str">
        <f t="shared" si="75"/>
        <v xml:space="preserve"> </v>
      </c>
      <c r="H608" s="1201"/>
      <c r="I608">
        <f t="shared" si="72"/>
        <v>0</v>
      </c>
      <c r="K608">
        <f t="shared" si="73"/>
        <v>0</v>
      </c>
      <c r="L608" s="1213"/>
      <c r="N608" s="1214" t="str">
        <f t="shared" si="76"/>
        <v xml:space="preserve"> </v>
      </c>
      <c r="O608" s="1215" t="str">
        <f t="shared" si="77"/>
        <v xml:space="preserve"> </v>
      </c>
      <c r="Q608">
        <f t="shared" si="78"/>
        <v>0</v>
      </c>
      <c r="R608">
        <f t="shared" si="79"/>
        <v>0</v>
      </c>
    </row>
    <row r="609" spans="2:18" x14ac:dyDescent="0.2">
      <c r="B609" s="1209"/>
      <c r="C609" s="1210"/>
      <c r="D609" s="939"/>
      <c r="E609" s="1211" t="str">
        <f t="shared" si="74"/>
        <v xml:space="preserve"> </v>
      </c>
      <c r="G609" s="1212" t="str">
        <f t="shared" si="75"/>
        <v xml:space="preserve"> </v>
      </c>
      <c r="H609" s="1201"/>
      <c r="I609">
        <f t="shared" si="72"/>
        <v>0</v>
      </c>
      <c r="K609">
        <f t="shared" si="73"/>
        <v>0</v>
      </c>
      <c r="L609" s="1213"/>
      <c r="N609" s="1214" t="str">
        <f t="shared" si="76"/>
        <v xml:space="preserve"> </v>
      </c>
      <c r="O609" s="1215" t="str">
        <f t="shared" si="77"/>
        <v xml:space="preserve"> </v>
      </c>
      <c r="Q609">
        <f t="shared" si="78"/>
        <v>0</v>
      </c>
      <c r="R609">
        <f t="shared" si="79"/>
        <v>0</v>
      </c>
    </row>
    <row r="610" spans="2:18" x14ac:dyDescent="0.2">
      <c r="B610" s="1209"/>
      <c r="C610" s="1210"/>
      <c r="D610" s="939"/>
      <c r="E610" s="1211" t="str">
        <f t="shared" si="74"/>
        <v xml:space="preserve"> </v>
      </c>
      <c r="G610" s="1212" t="str">
        <f t="shared" si="75"/>
        <v xml:space="preserve"> </v>
      </c>
      <c r="H610" s="1201"/>
      <c r="I610">
        <f t="shared" si="72"/>
        <v>0</v>
      </c>
      <c r="K610">
        <f t="shared" si="73"/>
        <v>0</v>
      </c>
      <c r="L610" s="1213"/>
      <c r="N610" s="1214" t="str">
        <f t="shared" si="76"/>
        <v xml:space="preserve"> </v>
      </c>
      <c r="O610" s="1215" t="str">
        <f t="shared" si="77"/>
        <v xml:space="preserve"> </v>
      </c>
      <c r="Q610">
        <f t="shared" si="78"/>
        <v>0</v>
      </c>
      <c r="R610">
        <f t="shared" si="79"/>
        <v>0</v>
      </c>
    </row>
    <row r="611" spans="2:18" x14ac:dyDescent="0.2">
      <c r="B611" s="1209"/>
      <c r="C611" s="1210"/>
      <c r="D611" s="939"/>
      <c r="E611" s="1211" t="str">
        <f t="shared" si="74"/>
        <v xml:space="preserve"> </v>
      </c>
      <c r="G611" s="1212" t="str">
        <f t="shared" si="75"/>
        <v xml:space="preserve"> </v>
      </c>
      <c r="H611" s="1201"/>
      <c r="I611">
        <f t="shared" si="72"/>
        <v>0</v>
      </c>
      <c r="K611">
        <f t="shared" si="73"/>
        <v>0</v>
      </c>
      <c r="L611" s="1213"/>
      <c r="N611" s="1214" t="str">
        <f t="shared" si="76"/>
        <v xml:space="preserve"> </v>
      </c>
      <c r="O611" s="1215" t="str">
        <f t="shared" si="77"/>
        <v xml:space="preserve"> </v>
      </c>
      <c r="Q611">
        <f t="shared" si="78"/>
        <v>0</v>
      </c>
      <c r="R611">
        <f t="shared" si="79"/>
        <v>0</v>
      </c>
    </row>
    <row r="612" spans="2:18" x14ac:dyDescent="0.2">
      <c r="B612" s="1209"/>
      <c r="C612" s="1210"/>
      <c r="D612" s="939"/>
      <c r="E612" s="1211" t="str">
        <f t="shared" si="74"/>
        <v xml:space="preserve"> </v>
      </c>
      <c r="G612" s="1212" t="str">
        <f t="shared" si="75"/>
        <v xml:space="preserve"> </v>
      </c>
      <c r="H612" s="1201"/>
      <c r="I612">
        <f t="shared" si="72"/>
        <v>0</v>
      </c>
      <c r="K612">
        <f t="shared" si="73"/>
        <v>0</v>
      </c>
      <c r="L612" s="1213"/>
      <c r="N612" s="1214" t="str">
        <f t="shared" si="76"/>
        <v xml:space="preserve"> </v>
      </c>
      <c r="O612" s="1215" t="str">
        <f t="shared" si="77"/>
        <v xml:space="preserve"> </v>
      </c>
      <c r="Q612">
        <f t="shared" si="78"/>
        <v>0</v>
      </c>
      <c r="R612">
        <f t="shared" si="79"/>
        <v>0</v>
      </c>
    </row>
    <row r="613" spans="2:18" x14ac:dyDescent="0.2">
      <c r="B613" s="1209"/>
      <c r="C613" s="1210"/>
      <c r="D613" s="939"/>
      <c r="E613" s="1211" t="str">
        <f t="shared" si="74"/>
        <v xml:space="preserve"> </v>
      </c>
      <c r="G613" s="1212" t="str">
        <f t="shared" si="75"/>
        <v xml:space="preserve"> </v>
      </c>
      <c r="H613" s="1201"/>
      <c r="I613">
        <f t="shared" si="72"/>
        <v>0</v>
      </c>
      <c r="K613">
        <f t="shared" si="73"/>
        <v>0</v>
      </c>
      <c r="L613" s="1213"/>
      <c r="N613" s="1214" t="str">
        <f t="shared" si="76"/>
        <v xml:space="preserve"> </v>
      </c>
      <c r="O613" s="1215" t="str">
        <f t="shared" si="77"/>
        <v xml:space="preserve"> </v>
      </c>
      <c r="Q613">
        <f t="shared" si="78"/>
        <v>0</v>
      </c>
      <c r="R613">
        <f t="shared" si="79"/>
        <v>0</v>
      </c>
    </row>
    <row r="614" spans="2:18" x14ac:dyDescent="0.2">
      <c r="B614" s="1209"/>
      <c r="C614" s="1210"/>
      <c r="D614" s="939"/>
      <c r="E614" s="1211" t="str">
        <f t="shared" si="74"/>
        <v xml:space="preserve"> </v>
      </c>
      <c r="G614" s="1212" t="str">
        <f t="shared" si="75"/>
        <v xml:space="preserve"> </v>
      </c>
      <c r="H614" s="1201"/>
      <c r="I614">
        <f t="shared" si="72"/>
        <v>0</v>
      </c>
      <c r="K614">
        <f t="shared" si="73"/>
        <v>0</v>
      </c>
      <c r="L614" s="1213"/>
      <c r="N614" s="1214" t="str">
        <f t="shared" si="76"/>
        <v xml:space="preserve"> </v>
      </c>
      <c r="O614" s="1215" t="str">
        <f t="shared" si="77"/>
        <v xml:space="preserve"> </v>
      </c>
      <c r="Q614">
        <f t="shared" si="78"/>
        <v>0</v>
      </c>
      <c r="R614">
        <f t="shared" si="79"/>
        <v>0</v>
      </c>
    </row>
    <row r="615" spans="2:18" x14ac:dyDescent="0.2">
      <c r="B615" s="1209"/>
      <c r="C615" s="1210"/>
      <c r="D615" s="939"/>
      <c r="E615" s="1211" t="str">
        <f t="shared" si="74"/>
        <v xml:space="preserve"> </v>
      </c>
      <c r="G615" s="1212" t="str">
        <f t="shared" si="75"/>
        <v xml:space="preserve"> </v>
      </c>
      <c r="H615" s="1201"/>
      <c r="I615">
        <f t="shared" si="72"/>
        <v>0</v>
      </c>
      <c r="K615">
        <f t="shared" si="73"/>
        <v>0</v>
      </c>
      <c r="L615" s="1213"/>
      <c r="N615" s="1214" t="str">
        <f t="shared" si="76"/>
        <v xml:space="preserve"> </v>
      </c>
      <c r="O615" s="1215" t="str">
        <f t="shared" si="77"/>
        <v xml:space="preserve"> </v>
      </c>
      <c r="Q615">
        <f t="shared" si="78"/>
        <v>0</v>
      </c>
      <c r="R615">
        <f t="shared" si="79"/>
        <v>0</v>
      </c>
    </row>
    <row r="616" spans="2:18" x14ac:dyDescent="0.2">
      <c r="B616" s="1209"/>
      <c r="C616" s="1210"/>
      <c r="D616" s="939"/>
      <c r="E616" s="1211" t="str">
        <f t="shared" si="74"/>
        <v xml:space="preserve"> </v>
      </c>
      <c r="G616" s="1212" t="str">
        <f t="shared" si="75"/>
        <v xml:space="preserve"> </v>
      </c>
      <c r="H616" s="1201"/>
      <c r="I616">
        <f t="shared" si="72"/>
        <v>0</v>
      </c>
      <c r="K616">
        <f t="shared" si="73"/>
        <v>0</v>
      </c>
      <c r="L616" s="1213"/>
      <c r="N616" s="1214" t="str">
        <f t="shared" si="76"/>
        <v xml:space="preserve"> </v>
      </c>
      <c r="O616" s="1215" t="str">
        <f t="shared" si="77"/>
        <v xml:space="preserve"> </v>
      </c>
      <c r="Q616">
        <f t="shared" si="78"/>
        <v>0</v>
      </c>
      <c r="R616">
        <f t="shared" si="79"/>
        <v>0</v>
      </c>
    </row>
    <row r="617" spans="2:18" x14ac:dyDescent="0.2">
      <c r="B617" s="1209"/>
      <c r="C617" s="1210"/>
      <c r="D617" s="939"/>
      <c r="E617" s="1211" t="str">
        <f t="shared" si="74"/>
        <v xml:space="preserve"> </v>
      </c>
      <c r="G617" s="1212" t="str">
        <f t="shared" si="75"/>
        <v xml:space="preserve"> </v>
      </c>
      <c r="H617" s="1201"/>
      <c r="I617">
        <f t="shared" si="72"/>
        <v>0</v>
      </c>
      <c r="K617">
        <f t="shared" si="73"/>
        <v>0</v>
      </c>
      <c r="L617" s="1213"/>
      <c r="N617" s="1214" t="str">
        <f t="shared" si="76"/>
        <v xml:space="preserve"> </v>
      </c>
      <c r="O617" s="1215" t="str">
        <f t="shared" si="77"/>
        <v xml:space="preserve"> </v>
      </c>
      <c r="Q617">
        <f t="shared" si="78"/>
        <v>0</v>
      </c>
      <c r="R617">
        <f t="shared" si="79"/>
        <v>0</v>
      </c>
    </row>
    <row r="618" spans="2:18" x14ac:dyDescent="0.2">
      <c r="B618" s="1209"/>
      <c r="C618" s="1210"/>
      <c r="D618" s="939"/>
      <c r="E618" s="1211" t="str">
        <f t="shared" si="74"/>
        <v xml:space="preserve"> </v>
      </c>
      <c r="G618" s="1212" t="str">
        <f t="shared" si="75"/>
        <v xml:space="preserve"> </v>
      </c>
      <c r="H618" s="1201"/>
      <c r="I618">
        <f t="shared" si="72"/>
        <v>0</v>
      </c>
      <c r="K618">
        <f t="shared" si="73"/>
        <v>0</v>
      </c>
      <c r="L618" s="1213"/>
      <c r="N618" s="1214" t="str">
        <f t="shared" si="76"/>
        <v xml:space="preserve"> </v>
      </c>
      <c r="O618" s="1215" t="str">
        <f t="shared" si="77"/>
        <v xml:space="preserve"> </v>
      </c>
      <c r="Q618">
        <f t="shared" si="78"/>
        <v>0</v>
      </c>
      <c r="R618">
        <f t="shared" si="79"/>
        <v>0</v>
      </c>
    </row>
    <row r="619" spans="2:18" x14ac:dyDescent="0.2">
      <c r="B619" s="1209"/>
      <c r="C619" s="1210"/>
      <c r="D619" s="939"/>
      <c r="E619" s="1211" t="str">
        <f t="shared" si="74"/>
        <v xml:space="preserve"> </v>
      </c>
      <c r="G619" s="1212" t="str">
        <f t="shared" si="75"/>
        <v xml:space="preserve"> </v>
      </c>
      <c r="H619" s="1201"/>
      <c r="I619">
        <f t="shared" si="72"/>
        <v>0</v>
      </c>
      <c r="K619">
        <f t="shared" si="73"/>
        <v>0</v>
      </c>
      <c r="L619" s="1213"/>
      <c r="N619" s="1214" t="str">
        <f t="shared" si="76"/>
        <v xml:space="preserve"> </v>
      </c>
      <c r="O619" s="1215" t="str">
        <f t="shared" si="77"/>
        <v xml:space="preserve"> </v>
      </c>
      <c r="Q619">
        <f t="shared" si="78"/>
        <v>0</v>
      </c>
      <c r="R619">
        <f t="shared" si="79"/>
        <v>0</v>
      </c>
    </row>
    <row r="620" spans="2:18" x14ac:dyDescent="0.2">
      <c r="B620" s="1209"/>
      <c r="C620" s="1210"/>
      <c r="D620" s="939"/>
      <c r="E620" s="1211" t="str">
        <f t="shared" si="74"/>
        <v xml:space="preserve"> </v>
      </c>
      <c r="G620" s="1212" t="str">
        <f t="shared" si="75"/>
        <v xml:space="preserve"> </v>
      </c>
      <c r="H620" s="1201"/>
      <c r="I620">
        <f t="shared" si="72"/>
        <v>0</v>
      </c>
      <c r="K620">
        <f t="shared" si="73"/>
        <v>0</v>
      </c>
      <c r="L620" s="1213"/>
      <c r="N620" s="1214" t="str">
        <f t="shared" si="76"/>
        <v xml:space="preserve"> </v>
      </c>
      <c r="O620" s="1215" t="str">
        <f t="shared" si="77"/>
        <v xml:space="preserve"> </v>
      </c>
      <c r="Q620">
        <f t="shared" si="78"/>
        <v>0</v>
      </c>
      <c r="R620">
        <f t="shared" si="79"/>
        <v>0</v>
      </c>
    </row>
    <row r="621" spans="2:18" x14ac:dyDescent="0.2">
      <c r="B621" s="1209"/>
      <c r="C621" s="1210"/>
      <c r="D621" s="939"/>
      <c r="E621" s="1211" t="str">
        <f t="shared" si="74"/>
        <v xml:space="preserve"> </v>
      </c>
      <c r="G621" s="1212" t="str">
        <f t="shared" si="75"/>
        <v xml:space="preserve"> </v>
      </c>
      <c r="H621" s="1201"/>
      <c r="I621">
        <f t="shared" si="72"/>
        <v>0</v>
      </c>
      <c r="K621">
        <f t="shared" si="73"/>
        <v>0</v>
      </c>
      <c r="L621" s="1213"/>
      <c r="N621" s="1214" t="str">
        <f t="shared" si="76"/>
        <v xml:space="preserve"> </v>
      </c>
      <c r="O621" s="1215" t="str">
        <f t="shared" si="77"/>
        <v xml:space="preserve"> </v>
      </c>
      <c r="Q621">
        <f t="shared" si="78"/>
        <v>0</v>
      </c>
      <c r="R621">
        <f t="shared" si="79"/>
        <v>0</v>
      </c>
    </row>
    <row r="622" spans="2:18" x14ac:dyDescent="0.2">
      <c r="B622" s="1209"/>
      <c r="C622" s="1210"/>
      <c r="D622" s="939"/>
      <c r="E622" s="1211" t="str">
        <f t="shared" si="74"/>
        <v xml:space="preserve"> </v>
      </c>
      <c r="G622" s="1212" t="str">
        <f t="shared" si="75"/>
        <v xml:space="preserve"> </v>
      </c>
      <c r="H622" s="1201"/>
      <c r="I622">
        <f t="shared" si="72"/>
        <v>0</v>
      </c>
      <c r="K622">
        <f t="shared" si="73"/>
        <v>0</v>
      </c>
      <c r="L622" s="1213"/>
      <c r="N622" s="1214" t="str">
        <f t="shared" si="76"/>
        <v xml:space="preserve"> </v>
      </c>
      <c r="O622" s="1215" t="str">
        <f t="shared" si="77"/>
        <v xml:space="preserve"> </v>
      </c>
      <c r="Q622">
        <f t="shared" si="78"/>
        <v>0</v>
      </c>
      <c r="R622">
        <f t="shared" si="79"/>
        <v>0</v>
      </c>
    </row>
    <row r="623" spans="2:18" x14ac:dyDescent="0.2">
      <c r="B623" s="1209"/>
      <c r="C623" s="1210"/>
      <c r="D623" s="939"/>
      <c r="E623" s="1211" t="str">
        <f t="shared" si="74"/>
        <v xml:space="preserve"> </v>
      </c>
      <c r="G623" s="1212" t="str">
        <f t="shared" si="75"/>
        <v xml:space="preserve"> </v>
      </c>
      <c r="H623" s="1201"/>
      <c r="I623">
        <f t="shared" si="72"/>
        <v>0</v>
      </c>
      <c r="K623">
        <f t="shared" si="73"/>
        <v>0</v>
      </c>
      <c r="L623" s="1213"/>
      <c r="N623" s="1214" t="str">
        <f t="shared" si="76"/>
        <v xml:space="preserve"> </v>
      </c>
      <c r="O623" s="1215" t="str">
        <f t="shared" si="77"/>
        <v xml:space="preserve"> </v>
      </c>
      <c r="Q623">
        <f t="shared" si="78"/>
        <v>0</v>
      </c>
      <c r="R623">
        <f t="shared" si="79"/>
        <v>0</v>
      </c>
    </row>
    <row r="624" spans="2:18" x14ac:dyDescent="0.2">
      <c r="B624" s="1209"/>
      <c r="C624" s="1210"/>
      <c r="D624" s="939"/>
      <c r="E624" s="1211" t="str">
        <f t="shared" si="74"/>
        <v xml:space="preserve"> </v>
      </c>
      <c r="G624" s="1212" t="str">
        <f t="shared" si="75"/>
        <v xml:space="preserve"> </v>
      </c>
      <c r="H624" s="1201"/>
      <c r="I624">
        <f t="shared" si="72"/>
        <v>0</v>
      </c>
      <c r="K624">
        <f t="shared" si="73"/>
        <v>0</v>
      </c>
      <c r="L624" s="1213"/>
      <c r="N624" s="1214" t="str">
        <f t="shared" si="76"/>
        <v xml:space="preserve"> </v>
      </c>
      <c r="O624" s="1215" t="str">
        <f t="shared" si="77"/>
        <v xml:space="preserve"> </v>
      </c>
      <c r="Q624">
        <f t="shared" si="78"/>
        <v>0</v>
      </c>
      <c r="R624">
        <f t="shared" si="79"/>
        <v>0</v>
      </c>
    </row>
    <row r="625" spans="2:18" x14ac:dyDescent="0.2">
      <c r="B625" s="1209"/>
      <c r="C625" s="1210"/>
      <c r="D625" s="939"/>
      <c r="E625" s="1211" t="str">
        <f t="shared" si="74"/>
        <v xml:space="preserve"> </v>
      </c>
      <c r="G625" s="1212" t="str">
        <f t="shared" si="75"/>
        <v xml:space="preserve"> </v>
      </c>
      <c r="H625" s="1201"/>
      <c r="I625">
        <f t="shared" si="72"/>
        <v>0</v>
      </c>
      <c r="K625">
        <f t="shared" si="73"/>
        <v>0</v>
      </c>
      <c r="L625" s="1213"/>
      <c r="N625" s="1214" t="str">
        <f t="shared" si="76"/>
        <v xml:space="preserve"> </v>
      </c>
      <c r="O625" s="1215" t="str">
        <f t="shared" si="77"/>
        <v xml:space="preserve"> </v>
      </c>
      <c r="Q625">
        <f t="shared" si="78"/>
        <v>0</v>
      </c>
      <c r="R625">
        <f t="shared" si="79"/>
        <v>0</v>
      </c>
    </row>
    <row r="626" spans="2:18" x14ac:dyDescent="0.2">
      <c r="B626" s="1209"/>
      <c r="C626" s="1210"/>
      <c r="D626" s="939"/>
      <c r="E626" s="1211" t="str">
        <f t="shared" si="74"/>
        <v xml:space="preserve"> </v>
      </c>
      <c r="G626" s="1212" t="str">
        <f t="shared" si="75"/>
        <v xml:space="preserve"> </v>
      </c>
      <c r="H626" s="1201"/>
      <c r="I626">
        <f t="shared" si="72"/>
        <v>0</v>
      </c>
      <c r="K626">
        <f t="shared" si="73"/>
        <v>0</v>
      </c>
      <c r="L626" s="1213"/>
      <c r="N626" s="1214" t="str">
        <f t="shared" si="76"/>
        <v xml:space="preserve"> </v>
      </c>
      <c r="O626" s="1215" t="str">
        <f t="shared" si="77"/>
        <v xml:space="preserve"> </v>
      </c>
      <c r="Q626">
        <f t="shared" si="78"/>
        <v>0</v>
      </c>
      <c r="R626">
        <f t="shared" si="79"/>
        <v>0</v>
      </c>
    </row>
    <row r="627" spans="2:18" x14ac:dyDescent="0.2">
      <c r="B627" s="1209"/>
      <c r="C627" s="1210"/>
      <c r="D627" s="939"/>
      <c r="E627" s="1211" t="str">
        <f t="shared" si="74"/>
        <v xml:space="preserve"> </v>
      </c>
      <c r="G627" s="1212" t="str">
        <f t="shared" si="75"/>
        <v xml:space="preserve"> </v>
      </c>
      <c r="H627" s="1201"/>
      <c r="I627">
        <f t="shared" si="72"/>
        <v>0</v>
      </c>
      <c r="K627">
        <f t="shared" si="73"/>
        <v>0</v>
      </c>
      <c r="L627" s="1213"/>
      <c r="N627" s="1214" t="str">
        <f t="shared" si="76"/>
        <v xml:space="preserve"> </v>
      </c>
      <c r="O627" s="1215" t="str">
        <f t="shared" si="77"/>
        <v xml:space="preserve"> </v>
      </c>
      <c r="Q627">
        <f t="shared" si="78"/>
        <v>0</v>
      </c>
      <c r="R627">
        <f t="shared" si="79"/>
        <v>0</v>
      </c>
    </row>
    <row r="628" spans="2:18" x14ac:dyDescent="0.2">
      <c r="B628" s="1209"/>
      <c r="C628" s="1210"/>
      <c r="D628" s="939"/>
      <c r="E628" s="1211" t="str">
        <f t="shared" si="74"/>
        <v xml:space="preserve"> </v>
      </c>
      <c r="G628" s="1212" t="str">
        <f t="shared" si="75"/>
        <v xml:space="preserve"> </v>
      </c>
      <c r="H628" s="1201"/>
      <c r="I628">
        <f t="shared" si="72"/>
        <v>0</v>
      </c>
      <c r="K628">
        <f t="shared" si="73"/>
        <v>0</v>
      </c>
      <c r="L628" s="1213"/>
      <c r="N628" s="1214" t="str">
        <f t="shared" si="76"/>
        <v xml:space="preserve"> </v>
      </c>
      <c r="O628" s="1215" t="str">
        <f t="shared" si="77"/>
        <v xml:space="preserve"> </v>
      </c>
      <c r="Q628">
        <f t="shared" si="78"/>
        <v>0</v>
      </c>
      <c r="R628">
        <f t="shared" si="79"/>
        <v>0</v>
      </c>
    </row>
    <row r="629" spans="2:18" x14ac:dyDescent="0.2">
      <c r="B629" s="1209"/>
      <c r="C629" s="1210"/>
      <c r="D629" s="939"/>
      <c r="E629" s="1211" t="str">
        <f t="shared" si="74"/>
        <v xml:space="preserve"> </v>
      </c>
      <c r="G629" s="1212" t="str">
        <f t="shared" si="75"/>
        <v xml:space="preserve"> </v>
      </c>
      <c r="H629" s="1201"/>
      <c r="I629">
        <f t="shared" si="72"/>
        <v>0</v>
      </c>
      <c r="K629">
        <f t="shared" si="73"/>
        <v>0</v>
      </c>
      <c r="L629" s="1213"/>
      <c r="N629" s="1214" t="str">
        <f t="shared" si="76"/>
        <v xml:space="preserve"> </v>
      </c>
      <c r="O629" s="1215" t="str">
        <f t="shared" si="77"/>
        <v xml:space="preserve"> </v>
      </c>
      <c r="Q629">
        <f t="shared" si="78"/>
        <v>0</v>
      </c>
      <c r="R629">
        <f t="shared" si="79"/>
        <v>0</v>
      </c>
    </row>
    <row r="630" spans="2:18" x14ac:dyDescent="0.2">
      <c r="B630" s="1209"/>
      <c r="C630" s="1210"/>
      <c r="D630" s="939"/>
      <c r="E630" s="1211" t="str">
        <f t="shared" si="74"/>
        <v xml:space="preserve"> </v>
      </c>
      <c r="G630" s="1212" t="str">
        <f t="shared" si="75"/>
        <v xml:space="preserve"> </v>
      </c>
      <c r="H630" s="1201"/>
      <c r="I630">
        <f t="shared" si="72"/>
        <v>0</v>
      </c>
      <c r="K630">
        <f t="shared" si="73"/>
        <v>0</v>
      </c>
      <c r="L630" s="1213"/>
      <c r="N630" s="1214" t="str">
        <f t="shared" si="76"/>
        <v xml:space="preserve"> </v>
      </c>
      <c r="O630" s="1215" t="str">
        <f t="shared" si="77"/>
        <v xml:space="preserve"> </v>
      </c>
      <c r="Q630">
        <f t="shared" si="78"/>
        <v>0</v>
      </c>
      <c r="R630">
        <f t="shared" si="79"/>
        <v>0</v>
      </c>
    </row>
    <row r="631" spans="2:18" x14ac:dyDescent="0.2">
      <c r="B631" s="1209"/>
      <c r="C631" s="1210"/>
      <c r="D631" s="939"/>
      <c r="E631" s="1211" t="str">
        <f t="shared" si="74"/>
        <v xml:space="preserve"> </v>
      </c>
      <c r="G631" s="1212" t="str">
        <f t="shared" si="75"/>
        <v xml:space="preserve"> </v>
      </c>
      <c r="H631" s="1201"/>
      <c r="I631">
        <f t="shared" si="72"/>
        <v>0</v>
      </c>
      <c r="K631">
        <f t="shared" si="73"/>
        <v>0</v>
      </c>
      <c r="L631" s="1213"/>
      <c r="N631" s="1214" t="str">
        <f t="shared" si="76"/>
        <v xml:space="preserve"> </v>
      </c>
      <c r="O631" s="1215" t="str">
        <f t="shared" si="77"/>
        <v xml:space="preserve"> </v>
      </c>
      <c r="Q631">
        <f t="shared" si="78"/>
        <v>0</v>
      </c>
      <c r="R631">
        <f t="shared" si="79"/>
        <v>0</v>
      </c>
    </row>
    <row r="632" spans="2:18" x14ac:dyDescent="0.2">
      <c r="B632" s="1209"/>
      <c r="C632" s="1210"/>
      <c r="D632" s="939"/>
      <c r="E632" s="1211" t="str">
        <f t="shared" si="74"/>
        <v xml:space="preserve"> </v>
      </c>
      <c r="G632" s="1212" t="str">
        <f t="shared" si="75"/>
        <v xml:space="preserve"> </v>
      </c>
      <c r="H632" s="1201"/>
      <c r="I632">
        <f t="shared" si="72"/>
        <v>0</v>
      </c>
      <c r="K632">
        <f t="shared" si="73"/>
        <v>0</v>
      </c>
      <c r="L632" s="1213"/>
      <c r="N632" s="1214" t="str">
        <f t="shared" si="76"/>
        <v xml:space="preserve"> </v>
      </c>
      <c r="O632" s="1215" t="str">
        <f t="shared" si="77"/>
        <v xml:space="preserve"> </v>
      </c>
      <c r="Q632">
        <f t="shared" si="78"/>
        <v>0</v>
      </c>
      <c r="R632">
        <f t="shared" si="79"/>
        <v>0</v>
      </c>
    </row>
    <row r="633" spans="2:18" x14ac:dyDescent="0.2">
      <c r="B633" s="1209"/>
      <c r="C633" s="1210"/>
      <c r="D633" s="939"/>
      <c r="E633" s="1211" t="str">
        <f t="shared" si="74"/>
        <v xml:space="preserve"> </v>
      </c>
      <c r="G633" s="1212" t="str">
        <f t="shared" si="75"/>
        <v xml:space="preserve"> </v>
      </c>
      <c r="H633" s="1201"/>
      <c r="I633">
        <f t="shared" si="72"/>
        <v>0</v>
      </c>
      <c r="K633">
        <f t="shared" si="73"/>
        <v>0</v>
      </c>
      <c r="L633" s="1213"/>
      <c r="N633" s="1214" t="str">
        <f t="shared" si="76"/>
        <v xml:space="preserve"> </v>
      </c>
      <c r="O633" s="1215" t="str">
        <f t="shared" si="77"/>
        <v xml:space="preserve"> </v>
      </c>
      <c r="Q633">
        <f t="shared" si="78"/>
        <v>0</v>
      </c>
      <c r="R633">
        <f t="shared" si="79"/>
        <v>0</v>
      </c>
    </row>
    <row r="634" spans="2:18" x14ac:dyDescent="0.2">
      <c r="B634" s="1209"/>
      <c r="C634" s="1210"/>
      <c r="D634" s="939"/>
      <c r="E634" s="1211" t="str">
        <f t="shared" si="74"/>
        <v xml:space="preserve"> </v>
      </c>
      <c r="G634" s="1212" t="str">
        <f t="shared" si="75"/>
        <v xml:space="preserve"> </v>
      </c>
      <c r="H634" s="1201"/>
      <c r="I634">
        <f t="shared" si="72"/>
        <v>0</v>
      </c>
      <c r="K634">
        <f t="shared" si="73"/>
        <v>0</v>
      </c>
      <c r="L634" s="1213"/>
      <c r="N634" s="1214" t="str">
        <f t="shared" si="76"/>
        <v xml:space="preserve"> </v>
      </c>
      <c r="O634" s="1215" t="str">
        <f t="shared" si="77"/>
        <v xml:space="preserve"> </v>
      </c>
      <c r="Q634">
        <f t="shared" si="78"/>
        <v>0</v>
      </c>
      <c r="R634">
        <f t="shared" si="79"/>
        <v>0</v>
      </c>
    </row>
    <row r="635" spans="2:18" x14ac:dyDescent="0.2">
      <c r="B635" s="1209"/>
      <c r="C635" s="1210"/>
      <c r="D635" s="939"/>
      <c r="E635" s="1211" t="str">
        <f t="shared" si="74"/>
        <v xml:space="preserve"> </v>
      </c>
      <c r="G635" s="1212" t="str">
        <f t="shared" si="75"/>
        <v xml:space="preserve"> </v>
      </c>
      <c r="H635" s="1201"/>
      <c r="I635">
        <f t="shared" si="72"/>
        <v>0</v>
      </c>
      <c r="K635">
        <f t="shared" si="73"/>
        <v>0</v>
      </c>
      <c r="L635" s="1213"/>
      <c r="N635" s="1214" t="str">
        <f t="shared" si="76"/>
        <v xml:space="preserve"> </v>
      </c>
      <c r="O635" s="1215" t="str">
        <f t="shared" si="77"/>
        <v xml:space="preserve"> </v>
      </c>
      <c r="Q635">
        <f t="shared" si="78"/>
        <v>0</v>
      </c>
      <c r="R635">
        <f t="shared" si="79"/>
        <v>0</v>
      </c>
    </row>
    <row r="636" spans="2:18" x14ac:dyDescent="0.2">
      <c r="B636" s="1209"/>
      <c r="C636" s="1210"/>
      <c r="D636" s="939"/>
      <c r="E636" s="1211" t="str">
        <f t="shared" si="74"/>
        <v xml:space="preserve"> </v>
      </c>
      <c r="G636" s="1212" t="str">
        <f t="shared" si="75"/>
        <v xml:space="preserve"> </v>
      </c>
      <c r="H636" s="1201"/>
      <c r="I636">
        <f t="shared" si="72"/>
        <v>0</v>
      </c>
      <c r="K636">
        <f t="shared" si="73"/>
        <v>0</v>
      </c>
      <c r="L636" s="1213"/>
      <c r="N636" s="1214" t="str">
        <f t="shared" si="76"/>
        <v xml:space="preserve"> </v>
      </c>
      <c r="O636" s="1215" t="str">
        <f t="shared" si="77"/>
        <v xml:space="preserve"> </v>
      </c>
      <c r="Q636">
        <f t="shared" si="78"/>
        <v>0</v>
      </c>
      <c r="R636">
        <f t="shared" si="79"/>
        <v>0</v>
      </c>
    </row>
    <row r="637" spans="2:18" x14ac:dyDescent="0.2">
      <c r="B637" s="1209"/>
      <c r="C637" s="1210"/>
      <c r="D637" s="939"/>
      <c r="E637" s="1211" t="str">
        <f t="shared" si="74"/>
        <v xml:space="preserve"> </v>
      </c>
      <c r="G637" s="1212" t="str">
        <f t="shared" si="75"/>
        <v xml:space="preserve"> </v>
      </c>
      <c r="H637" s="1201"/>
      <c r="I637">
        <f t="shared" si="72"/>
        <v>0</v>
      </c>
      <c r="K637">
        <f t="shared" si="73"/>
        <v>0</v>
      </c>
      <c r="L637" s="1213"/>
      <c r="N637" s="1214" t="str">
        <f t="shared" si="76"/>
        <v xml:space="preserve"> </v>
      </c>
      <c r="O637" s="1215" t="str">
        <f t="shared" si="77"/>
        <v xml:space="preserve"> </v>
      </c>
      <c r="Q637">
        <f t="shared" si="78"/>
        <v>0</v>
      </c>
      <c r="R637">
        <f t="shared" si="79"/>
        <v>0</v>
      </c>
    </row>
    <row r="638" spans="2:18" x14ac:dyDescent="0.2">
      <c r="B638" s="1209"/>
      <c r="C638" s="1210"/>
      <c r="D638" s="939"/>
      <c r="E638" s="1211" t="str">
        <f t="shared" si="74"/>
        <v xml:space="preserve"> </v>
      </c>
      <c r="G638" s="1212" t="str">
        <f t="shared" si="75"/>
        <v xml:space="preserve"> </v>
      </c>
      <c r="H638" s="1201"/>
      <c r="I638">
        <f t="shared" si="72"/>
        <v>0</v>
      </c>
      <c r="K638">
        <f t="shared" si="73"/>
        <v>0</v>
      </c>
      <c r="L638" s="1213"/>
      <c r="N638" s="1214" t="str">
        <f t="shared" si="76"/>
        <v xml:space="preserve"> </v>
      </c>
      <c r="O638" s="1215" t="str">
        <f t="shared" si="77"/>
        <v xml:space="preserve"> </v>
      </c>
      <c r="Q638">
        <f t="shared" si="78"/>
        <v>0</v>
      </c>
      <c r="R638">
        <f t="shared" si="79"/>
        <v>0</v>
      </c>
    </row>
    <row r="639" spans="2:18" x14ac:dyDescent="0.2">
      <c r="B639" s="1209"/>
      <c r="C639" s="1210"/>
      <c r="D639" s="939"/>
      <c r="E639" s="1211" t="str">
        <f t="shared" si="74"/>
        <v xml:space="preserve"> </v>
      </c>
      <c r="G639" s="1212" t="str">
        <f t="shared" si="75"/>
        <v xml:space="preserve"> </v>
      </c>
      <c r="H639" s="1201"/>
      <c r="I639">
        <f t="shared" si="72"/>
        <v>0</v>
      </c>
      <c r="K639">
        <f t="shared" si="73"/>
        <v>0</v>
      </c>
      <c r="L639" s="1213"/>
      <c r="N639" s="1214" t="str">
        <f t="shared" si="76"/>
        <v xml:space="preserve"> </v>
      </c>
      <c r="O639" s="1215" t="str">
        <f t="shared" si="77"/>
        <v xml:space="preserve"> </v>
      </c>
      <c r="Q639">
        <f t="shared" si="78"/>
        <v>0</v>
      </c>
      <c r="R639">
        <f t="shared" si="79"/>
        <v>0</v>
      </c>
    </row>
    <row r="640" spans="2:18" x14ac:dyDescent="0.2">
      <c r="B640" s="1209"/>
      <c r="C640" s="1210"/>
      <c r="D640" s="939"/>
      <c r="E640" s="1211" t="str">
        <f t="shared" si="74"/>
        <v xml:space="preserve"> </v>
      </c>
      <c r="G640" s="1212" t="str">
        <f t="shared" si="75"/>
        <v xml:space="preserve"> </v>
      </c>
      <c r="H640" s="1201"/>
      <c r="I640">
        <f t="shared" si="72"/>
        <v>0</v>
      </c>
      <c r="K640">
        <f t="shared" si="73"/>
        <v>0</v>
      </c>
      <c r="L640" s="1213"/>
      <c r="N640" s="1214" t="str">
        <f t="shared" si="76"/>
        <v xml:space="preserve"> </v>
      </c>
      <c r="O640" s="1215" t="str">
        <f t="shared" si="77"/>
        <v xml:space="preserve"> </v>
      </c>
      <c r="Q640">
        <f t="shared" si="78"/>
        <v>0</v>
      </c>
      <c r="R640">
        <f t="shared" si="79"/>
        <v>0</v>
      </c>
    </row>
    <row r="641" spans="2:18" x14ac:dyDescent="0.2">
      <c r="B641" s="1209"/>
      <c r="C641" s="1210"/>
      <c r="D641" s="939"/>
      <c r="E641" s="1211" t="str">
        <f t="shared" si="74"/>
        <v xml:space="preserve"> </v>
      </c>
      <c r="G641" s="1212" t="str">
        <f t="shared" si="75"/>
        <v xml:space="preserve"> </v>
      </c>
      <c r="H641" s="1201"/>
      <c r="I641">
        <f t="shared" si="72"/>
        <v>0</v>
      </c>
      <c r="K641">
        <f t="shared" si="73"/>
        <v>0</v>
      </c>
      <c r="L641" s="1213"/>
      <c r="N641" s="1214" t="str">
        <f t="shared" si="76"/>
        <v xml:space="preserve"> </v>
      </c>
      <c r="O641" s="1215" t="str">
        <f t="shared" si="77"/>
        <v xml:space="preserve"> </v>
      </c>
      <c r="Q641">
        <f t="shared" si="78"/>
        <v>0</v>
      </c>
      <c r="R641">
        <f t="shared" si="79"/>
        <v>0</v>
      </c>
    </row>
    <row r="642" spans="2:18" x14ac:dyDescent="0.2">
      <c r="B642" s="1209"/>
      <c r="C642" s="1210"/>
      <c r="D642" s="939"/>
      <c r="E642" s="1211" t="str">
        <f t="shared" si="74"/>
        <v xml:space="preserve"> </v>
      </c>
      <c r="G642" s="1212" t="str">
        <f t="shared" si="75"/>
        <v xml:space="preserve"> </v>
      </c>
      <c r="H642" s="1201"/>
      <c r="I642">
        <f t="shared" si="72"/>
        <v>0</v>
      </c>
      <c r="K642">
        <f t="shared" si="73"/>
        <v>0</v>
      </c>
      <c r="L642" s="1213"/>
      <c r="N642" s="1214" t="str">
        <f t="shared" si="76"/>
        <v xml:space="preserve"> </v>
      </c>
      <c r="O642" s="1215" t="str">
        <f t="shared" si="77"/>
        <v xml:space="preserve"> </v>
      </c>
      <c r="Q642">
        <f t="shared" si="78"/>
        <v>0</v>
      </c>
      <c r="R642">
        <f t="shared" si="79"/>
        <v>0</v>
      </c>
    </row>
    <row r="643" spans="2:18" x14ac:dyDescent="0.2">
      <c r="B643" s="1209"/>
      <c r="C643" s="1210"/>
      <c r="D643" s="939"/>
      <c r="E643" s="1211" t="str">
        <f t="shared" si="74"/>
        <v xml:space="preserve"> </v>
      </c>
      <c r="G643" s="1212" t="str">
        <f t="shared" si="75"/>
        <v xml:space="preserve"> </v>
      </c>
      <c r="H643" s="1201"/>
      <c r="I643">
        <f t="shared" si="72"/>
        <v>0</v>
      </c>
      <c r="K643">
        <f t="shared" si="73"/>
        <v>0</v>
      </c>
      <c r="L643" s="1213"/>
      <c r="N643" s="1214" t="str">
        <f t="shared" si="76"/>
        <v xml:space="preserve"> </v>
      </c>
      <c r="O643" s="1215" t="str">
        <f t="shared" si="77"/>
        <v xml:space="preserve"> </v>
      </c>
      <c r="Q643">
        <f t="shared" si="78"/>
        <v>0</v>
      </c>
      <c r="R643">
        <f t="shared" si="79"/>
        <v>0</v>
      </c>
    </row>
    <row r="644" spans="2:18" x14ac:dyDescent="0.2">
      <c r="B644" s="1209"/>
      <c r="C644" s="1210"/>
      <c r="D644" s="939"/>
      <c r="E644" s="1211" t="str">
        <f t="shared" si="74"/>
        <v xml:space="preserve"> </v>
      </c>
      <c r="G644" s="1212" t="str">
        <f t="shared" si="75"/>
        <v xml:space="preserve"> </v>
      </c>
      <c r="H644" s="1201"/>
      <c r="I644">
        <f t="shared" si="72"/>
        <v>0</v>
      </c>
      <c r="K644">
        <f t="shared" si="73"/>
        <v>0</v>
      </c>
      <c r="L644" s="1213"/>
      <c r="N644" s="1214" t="str">
        <f t="shared" si="76"/>
        <v xml:space="preserve"> </v>
      </c>
      <c r="O644" s="1215" t="str">
        <f t="shared" si="77"/>
        <v xml:space="preserve"> </v>
      </c>
      <c r="Q644">
        <f t="shared" si="78"/>
        <v>0</v>
      </c>
      <c r="R644">
        <f t="shared" si="79"/>
        <v>0</v>
      </c>
    </row>
    <row r="645" spans="2:18" x14ac:dyDescent="0.2">
      <c r="B645" s="1209"/>
      <c r="C645" s="1210"/>
      <c r="D645" s="939"/>
      <c r="E645" s="1211" t="str">
        <f t="shared" si="74"/>
        <v xml:space="preserve"> </v>
      </c>
      <c r="G645" s="1212" t="str">
        <f t="shared" si="75"/>
        <v xml:space="preserve"> </v>
      </c>
      <c r="H645" s="1201"/>
      <c r="I645">
        <f t="shared" si="72"/>
        <v>0</v>
      </c>
      <c r="K645">
        <f t="shared" si="73"/>
        <v>0</v>
      </c>
      <c r="L645" s="1213"/>
      <c r="N645" s="1214" t="str">
        <f t="shared" si="76"/>
        <v xml:space="preserve"> </v>
      </c>
      <c r="O645" s="1215" t="str">
        <f t="shared" si="77"/>
        <v xml:space="preserve"> </v>
      </c>
      <c r="Q645">
        <f t="shared" si="78"/>
        <v>0</v>
      </c>
      <c r="R645">
        <f t="shared" si="79"/>
        <v>0</v>
      </c>
    </row>
    <row r="646" spans="2:18" x14ac:dyDescent="0.2">
      <c r="B646" s="1209"/>
      <c r="C646" s="1210"/>
      <c r="D646" s="939"/>
      <c r="E646" s="1211" t="str">
        <f t="shared" si="74"/>
        <v xml:space="preserve"> </v>
      </c>
      <c r="G646" s="1212" t="str">
        <f t="shared" si="75"/>
        <v xml:space="preserve"> </v>
      </c>
      <c r="H646" s="1201"/>
      <c r="I646">
        <f t="shared" si="72"/>
        <v>0</v>
      </c>
      <c r="K646">
        <f t="shared" si="73"/>
        <v>0</v>
      </c>
      <c r="L646" s="1213"/>
      <c r="N646" s="1214" t="str">
        <f t="shared" si="76"/>
        <v xml:space="preserve"> </v>
      </c>
      <c r="O646" s="1215" t="str">
        <f t="shared" si="77"/>
        <v xml:space="preserve"> </v>
      </c>
      <c r="Q646">
        <f t="shared" si="78"/>
        <v>0</v>
      </c>
      <c r="R646">
        <f t="shared" si="79"/>
        <v>0</v>
      </c>
    </row>
    <row r="647" spans="2:18" x14ac:dyDescent="0.2">
      <c r="B647" s="1209"/>
      <c r="C647" s="1210"/>
      <c r="D647" s="939"/>
      <c r="E647" s="1211" t="str">
        <f t="shared" si="74"/>
        <v xml:space="preserve"> </v>
      </c>
      <c r="G647" s="1212" t="str">
        <f t="shared" si="75"/>
        <v xml:space="preserve"> </v>
      </c>
      <c r="H647" s="1201"/>
      <c r="I647">
        <f t="shared" si="72"/>
        <v>0</v>
      </c>
      <c r="K647">
        <f t="shared" si="73"/>
        <v>0</v>
      </c>
      <c r="L647" s="1213"/>
      <c r="N647" s="1214" t="str">
        <f t="shared" si="76"/>
        <v xml:space="preserve"> </v>
      </c>
      <c r="O647" s="1215" t="str">
        <f t="shared" si="77"/>
        <v xml:space="preserve"> </v>
      </c>
      <c r="Q647">
        <f t="shared" si="78"/>
        <v>0</v>
      </c>
      <c r="R647">
        <f t="shared" si="79"/>
        <v>0</v>
      </c>
    </row>
    <row r="648" spans="2:18" x14ac:dyDescent="0.2">
      <c r="B648" s="1209"/>
      <c r="C648" s="1210"/>
      <c r="D648" s="939"/>
      <c r="E648" s="1211" t="str">
        <f t="shared" si="74"/>
        <v xml:space="preserve"> </v>
      </c>
      <c r="G648" s="1212" t="str">
        <f t="shared" si="75"/>
        <v xml:space="preserve"> </v>
      </c>
      <c r="H648" s="1201"/>
      <c r="I648">
        <f t="shared" ref="I648:I711" si="80">(J648+C648)/12</f>
        <v>0</v>
      </c>
      <c r="K648">
        <f t="shared" ref="K648:K711" si="81">I648+B648</f>
        <v>0</v>
      </c>
      <c r="L648" s="1213"/>
      <c r="N648" s="1214" t="str">
        <f t="shared" si="76"/>
        <v xml:space="preserve"> </v>
      </c>
      <c r="O648" s="1215" t="str">
        <f t="shared" si="77"/>
        <v xml:space="preserve"> </v>
      </c>
      <c r="Q648">
        <f t="shared" si="78"/>
        <v>0</v>
      </c>
      <c r="R648">
        <f t="shared" si="79"/>
        <v>0</v>
      </c>
    </row>
    <row r="649" spans="2:18" x14ac:dyDescent="0.2">
      <c r="B649" s="1209"/>
      <c r="C649" s="1210"/>
      <c r="D649" s="939"/>
      <c r="E649" s="1211" t="str">
        <f t="shared" si="74"/>
        <v xml:space="preserve"> </v>
      </c>
      <c r="G649" s="1212" t="str">
        <f t="shared" si="75"/>
        <v xml:space="preserve"> </v>
      </c>
      <c r="H649" s="1201"/>
      <c r="I649">
        <f t="shared" si="80"/>
        <v>0</v>
      </c>
      <c r="K649">
        <f t="shared" si="81"/>
        <v>0</v>
      </c>
      <c r="L649" s="1213"/>
      <c r="N649" s="1214" t="str">
        <f t="shared" si="76"/>
        <v xml:space="preserve"> </v>
      </c>
      <c r="O649" s="1215" t="str">
        <f t="shared" si="77"/>
        <v xml:space="preserve"> </v>
      </c>
      <c r="Q649">
        <f t="shared" si="78"/>
        <v>0</v>
      </c>
      <c r="R649">
        <f t="shared" si="79"/>
        <v>0</v>
      </c>
    </row>
    <row r="650" spans="2:18" x14ac:dyDescent="0.2">
      <c r="B650" s="1209"/>
      <c r="C650" s="1210"/>
      <c r="D650" s="939"/>
      <c r="E650" s="1211" t="str">
        <f t="shared" ref="E650:E713" si="82">IF(K650=0," ",IF(K650&gt;0,K650*12*25.4))</f>
        <v xml:space="preserve"> </v>
      </c>
      <c r="G650" s="1212" t="str">
        <f t="shared" ref="G650:G713" si="83">IF(K650=0," ",IF(K650&gt;0,E650/1000))</f>
        <v xml:space="preserve"> </v>
      </c>
      <c r="H650" s="1201"/>
      <c r="I650">
        <f t="shared" si="80"/>
        <v>0</v>
      </c>
      <c r="K650">
        <f t="shared" si="81"/>
        <v>0</v>
      </c>
      <c r="L650" s="1213"/>
      <c r="N650" s="1214" t="str">
        <f t="shared" ref="N650:N713" si="84">IF(R650=0," ",IF(R650&gt;0,TRUNC(R650)))</f>
        <v xml:space="preserve"> </v>
      </c>
      <c r="O650" s="1215" t="str">
        <f t="shared" ref="O650:O713" si="85">IF(R650=0," ",IF(R650&gt;0,(R650-N650)*12))</f>
        <v xml:space="preserve"> </v>
      </c>
      <c r="Q650">
        <f t="shared" ref="Q650:Q713" si="86">L650/25.4</f>
        <v>0</v>
      </c>
      <c r="R650">
        <f t="shared" ref="R650:R713" si="87">Q650/12</f>
        <v>0</v>
      </c>
    </row>
    <row r="651" spans="2:18" x14ac:dyDescent="0.2">
      <c r="B651" s="1209"/>
      <c r="C651" s="1210"/>
      <c r="D651" s="939"/>
      <c r="E651" s="1211" t="str">
        <f t="shared" si="82"/>
        <v xml:space="preserve"> </v>
      </c>
      <c r="G651" s="1212" t="str">
        <f t="shared" si="83"/>
        <v xml:space="preserve"> </v>
      </c>
      <c r="H651" s="1201"/>
      <c r="I651">
        <f t="shared" si="80"/>
        <v>0</v>
      </c>
      <c r="K651">
        <f t="shared" si="81"/>
        <v>0</v>
      </c>
      <c r="L651" s="1213"/>
      <c r="N651" s="1214" t="str">
        <f t="shared" si="84"/>
        <v xml:space="preserve"> </v>
      </c>
      <c r="O651" s="1215" t="str">
        <f t="shared" si="85"/>
        <v xml:space="preserve"> </v>
      </c>
      <c r="Q651">
        <f t="shared" si="86"/>
        <v>0</v>
      </c>
      <c r="R651">
        <f t="shared" si="87"/>
        <v>0</v>
      </c>
    </row>
    <row r="652" spans="2:18" x14ac:dyDescent="0.2">
      <c r="B652" s="1209"/>
      <c r="C652" s="1210"/>
      <c r="D652" s="939"/>
      <c r="E652" s="1211" t="str">
        <f t="shared" si="82"/>
        <v xml:space="preserve"> </v>
      </c>
      <c r="G652" s="1212" t="str">
        <f t="shared" si="83"/>
        <v xml:space="preserve"> </v>
      </c>
      <c r="H652" s="1201"/>
      <c r="I652">
        <f t="shared" si="80"/>
        <v>0</v>
      </c>
      <c r="K652">
        <f t="shared" si="81"/>
        <v>0</v>
      </c>
      <c r="L652" s="1213"/>
      <c r="N652" s="1214" t="str">
        <f t="shared" si="84"/>
        <v xml:space="preserve"> </v>
      </c>
      <c r="O652" s="1215" t="str">
        <f t="shared" si="85"/>
        <v xml:space="preserve"> </v>
      </c>
      <c r="Q652">
        <f t="shared" si="86"/>
        <v>0</v>
      </c>
      <c r="R652">
        <f t="shared" si="87"/>
        <v>0</v>
      </c>
    </row>
    <row r="653" spans="2:18" x14ac:dyDescent="0.2">
      <c r="B653" s="1209"/>
      <c r="C653" s="1210"/>
      <c r="D653" s="939"/>
      <c r="E653" s="1211" t="str">
        <f t="shared" si="82"/>
        <v xml:space="preserve"> </v>
      </c>
      <c r="G653" s="1212" t="str">
        <f t="shared" si="83"/>
        <v xml:space="preserve"> </v>
      </c>
      <c r="H653" s="1201"/>
      <c r="I653">
        <f t="shared" si="80"/>
        <v>0</v>
      </c>
      <c r="K653">
        <f t="shared" si="81"/>
        <v>0</v>
      </c>
      <c r="L653" s="1213"/>
      <c r="N653" s="1214" t="str">
        <f t="shared" si="84"/>
        <v xml:space="preserve"> </v>
      </c>
      <c r="O653" s="1215" t="str">
        <f t="shared" si="85"/>
        <v xml:space="preserve"> </v>
      </c>
      <c r="Q653">
        <f t="shared" si="86"/>
        <v>0</v>
      </c>
      <c r="R653">
        <f t="shared" si="87"/>
        <v>0</v>
      </c>
    </row>
    <row r="654" spans="2:18" x14ac:dyDescent="0.2">
      <c r="B654" s="1209"/>
      <c r="C654" s="1210"/>
      <c r="D654" s="939"/>
      <c r="E654" s="1211" t="str">
        <f t="shared" si="82"/>
        <v xml:space="preserve"> </v>
      </c>
      <c r="G654" s="1212" t="str">
        <f t="shared" si="83"/>
        <v xml:space="preserve"> </v>
      </c>
      <c r="H654" s="1201"/>
      <c r="I654">
        <f t="shared" si="80"/>
        <v>0</v>
      </c>
      <c r="K654">
        <f t="shared" si="81"/>
        <v>0</v>
      </c>
      <c r="L654" s="1213"/>
      <c r="N654" s="1214" t="str">
        <f t="shared" si="84"/>
        <v xml:space="preserve"> </v>
      </c>
      <c r="O654" s="1215" t="str">
        <f t="shared" si="85"/>
        <v xml:space="preserve"> </v>
      </c>
      <c r="Q654">
        <f t="shared" si="86"/>
        <v>0</v>
      </c>
      <c r="R654">
        <f t="shared" si="87"/>
        <v>0</v>
      </c>
    </row>
    <row r="655" spans="2:18" x14ac:dyDescent="0.2">
      <c r="B655" s="1209"/>
      <c r="C655" s="1210"/>
      <c r="D655" s="939"/>
      <c r="E655" s="1211" t="str">
        <f t="shared" si="82"/>
        <v xml:space="preserve"> </v>
      </c>
      <c r="G655" s="1212" t="str">
        <f t="shared" si="83"/>
        <v xml:space="preserve"> </v>
      </c>
      <c r="H655" s="1201"/>
      <c r="I655">
        <f t="shared" si="80"/>
        <v>0</v>
      </c>
      <c r="K655">
        <f t="shared" si="81"/>
        <v>0</v>
      </c>
      <c r="L655" s="1213"/>
      <c r="N655" s="1214" t="str">
        <f t="shared" si="84"/>
        <v xml:space="preserve"> </v>
      </c>
      <c r="O655" s="1215" t="str">
        <f t="shared" si="85"/>
        <v xml:space="preserve"> </v>
      </c>
      <c r="Q655">
        <f t="shared" si="86"/>
        <v>0</v>
      </c>
      <c r="R655">
        <f t="shared" si="87"/>
        <v>0</v>
      </c>
    </row>
    <row r="656" spans="2:18" x14ac:dyDescent="0.2">
      <c r="B656" s="1209"/>
      <c r="C656" s="1210"/>
      <c r="D656" s="939"/>
      <c r="E656" s="1211" t="str">
        <f t="shared" si="82"/>
        <v xml:space="preserve"> </v>
      </c>
      <c r="G656" s="1212" t="str">
        <f t="shared" si="83"/>
        <v xml:space="preserve"> </v>
      </c>
      <c r="H656" s="1201"/>
      <c r="I656">
        <f t="shared" si="80"/>
        <v>0</v>
      </c>
      <c r="K656">
        <f t="shared" si="81"/>
        <v>0</v>
      </c>
      <c r="L656" s="1213"/>
      <c r="N656" s="1214" t="str">
        <f t="shared" si="84"/>
        <v xml:space="preserve"> </v>
      </c>
      <c r="O656" s="1215" t="str">
        <f t="shared" si="85"/>
        <v xml:space="preserve"> </v>
      </c>
      <c r="Q656">
        <f t="shared" si="86"/>
        <v>0</v>
      </c>
      <c r="R656">
        <f t="shared" si="87"/>
        <v>0</v>
      </c>
    </row>
    <row r="657" spans="2:18" x14ac:dyDescent="0.2">
      <c r="B657" s="1209"/>
      <c r="C657" s="1210"/>
      <c r="D657" s="939"/>
      <c r="E657" s="1211" t="str">
        <f t="shared" si="82"/>
        <v xml:space="preserve"> </v>
      </c>
      <c r="G657" s="1212" t="str">
        <f t="shared" si="83"/>
        <v xml:space="preserve"> </v>
      </c>
      <c r="H657" s="1201"/>
      <c r="I657">
        <f t="shared" si="80"/>
        <v>0</v>
      </c>
      <c r="K657">
        <f t="shared" si="81"/>
        <v>0</v>
      </c>
      <c r="L657" s="1213"/>
      <c r="N657" s="1214" t="str">
        <f t="shared" si="84"/>
        <v xml:space="preserve"> </v>
      </c>
      <c r="O657" s="1215" t="str">
        <f t="shared" si="85"/>
        <v xml:space="preserve"> </v>
      </c>
      <c r="Q657">
        <f t="shared" si="86"/>
        <v>0</v>
      </c>
      <c r="R657">
        <f t="shared" si="87"/>
        <v>0</v>
      </c>
    </row>
    <row r="658" spans="2:18" x14ac:dyDescent="0.2">
      <c r="B658" s="1209"/>
      <c r="C658" s="1210"/>
      <c r="D658" s="939"/>
      <c r="E658" s="1211" t="str">
        <f t="shared" si="82"/>
        <v xml:space="preserve"> </v>
      </c>
      <c r="G658" s="1212" t="str">
        <f t="shared" si="83"/>
        <v xml:space="preserve"> </v>
      </c>
      <c r="H658" s="1201"/>
      <c r="I658">
        <f t="shared" si="80"/>
        <v>0</v>
      </c>
      <c r="K658">
        <f t="shared" si="81"/>
        <v>0</v>
      </c>
      <c r="L658" s="1213"/>
      <c r="N658" s="1214" t="str">
        <f t="shared" si="84"/>
        <v xml:space="preserve"> </v>
      </c>
      <c r="O658" s="1215" t="str">
        <f t="shared" si="85"/>
        <v xml:space="preserve"> </v>
      </c>
      <c r="Q658">
        <f t="shared" si="86"/>
        <v>0</v>
      </c>
      <c r="R658">
        <f t="shared" si="87"/>
        <v>0</v>
      </c>
    </row>
    <row r="659" spans="2:18" x14ac:dyDescent="0.2">
      <c r="B659" s="1209"/>
      <c r="C659" s="1210"/>
      <c r="D659" s="939"/>
      <c r="E659" s="1211" t="str">
        <f t="shared" si="82"/>
        <v xml:space="preserve"> </v>
      </c>
      <c r="G659" s="1212" t="str">
        <f t="shared" si="83"/>
        <v xml:space="preserve"> </v>
      </c>
      <c r="H659" s="1201"/>
      <c r="I659">
        <f t="shared" si="80"/>
        <v>0</v>
      </c>
      <c r="K659">
        <f t="shared" si="81"/>
        <v>0</v>
      </c>
      <c r="L659" s="1213"/>
      <c r="N659" s="1214" t="str">
        <f t="shared" si="84"/>
        <v xml:space="preserve"> </v>
      </c>
      <c r="O659" s="1215" t="str">
        <f t="shared" si="85"/>
        <v xml:space="preserve"> </v>
      </c>
      <c r="Q659">
        <f t="shared" si="86"/>
        <v>0</v>
      </c>
      <c r="R659">
        <f t="shared" si="87"/>
        <v>0</v>
      </c>
    </row>
    <row r="660" spans="2:18" x14ac:dyDescent="0.2">
      <c r="B660" s="1209"/>
      <c r="C660" s="1210"/>
      <c r="D660" s="939"/>
      <c r="E660" s="1211" t="str">
        <f t="shared" si="82"/>
        <v xml:space="preserve"> </v>
      </c>
      <c r="G660" s="1212" t="str">
        <f t="shared" si="83"/>
        <v xml:space="preserve"> </v>
      </c>
      <c r="H660" s="1201"/>
      <c r="I660">
        <f t="shared" si="80"/>
        <v>0</v>
      </c>
      <c r="K660">
        <f t="shared" si="81"/>
        <v>0</v>
      </c>
      <c r="L660" s="1213"/>
      <c r="N660" s="1214" t="str">
        <f t="shared" si="84"/>
        <v xml:space="preserve"> </v>
      </c>
      <c r="O660" s="1215" t="str">
        <f t="shared" si="85"/>
        <v xml:space="preserve"> </v>
      </c>
      <c r="Q660">
        <f t="shared" si="86"/>
        <v>0</v>
      </c>
      <c r="R660">
        <f t="shared" si="87"/>
        <v>0</v>
      </c>
    </row>
    <row r="661" spans="2:18" x14ac:dyDescent="0.2">
      <c r="B661" s="1209"/>
      <c r="C661" s="1210"/>
      <c r="D661" s="939"/>
      <c r="E661" s="1211" t="str">
        <f t="shared" si="82"/>
        <v xml:space="preserve"> </v>
      </c>
      <c r="G661" s="1212" t="str">
        <f t="shared" si="83"/>
        <v xml:space="preserve"> </v>
      </c>
      <c r="H661" s="1201"/>
      <c r="I661">
        <f t="shared" si="80"/>
        <v>0</v>
      </c>
      <c r="K661">
        <f t="shared" si="81"/>
        <v>0</v>
      </c>
      <c r="L661" s="1213"/>
      <c r="N661" s="1214" t="str">
        <f t="shared" si="84"/>
        <v xml:space="preserve"> </v>
      </c>
      <c r="O661" s="1215" t="str">
        <f t="shared" si="85"/>
        <v xml:space="preserve"> </v>
      </c>
      <c r="Q661">
        <f t="shared" si="86"/>
        <v>0</v>
      </c>
      <c r="R661">
        <f t="shared" si="87"/>
        <v>0</v>
      </c>
    </row>
    <row r="662" spans="2:18" x14ac:dyDescent="0.2">
      <c r="B662" s="1209"/>
      <c r="C662" s="1210"/>
      <c r="D662" s="939"/>
      <c r="E662" s="1211" t="str">
        <f t="shared" si="82"/>
        <v xml:space="preserve"> </v>
      </c>
      <c r="G662" s="1212" t="str">
        <f t="shared" si="83"/>
        <v xml:space="preserve"> </v>
      </c>
      <c r="H662" s="1201"/>
      <c r="I662">
        <f t="shared" si="80"/>
        <v>0</v>
      </c>
      <c r="K662">
        <f t="shared" si="81"/>
        <v>0</v>
      </c>
      <c r="L662" s="1213"/>
      <c r="N662" s="1214" t="str">
        <f t="shared" si="84"/>
        <v xml:space="preserve"> </v>
      </c>
      <c r="O662" s="1215" t="str">
        <f t="shared" si="85"/>
        <v xml:space="preserve"> </v>
      </c>
      <c r="Q662">
        <f t="shared" si="86"/>
        <v>0</v>
      </c>
      <c r="R662">
        <f t="shared" si="87"/>
        <v>0</v>
      </c>
    </row>
    <row r="663" spans="2:18" x14ac:dyDescent="0.2">
      <c r="B663" s="1209"/>
      <c r="C663" s="1210"/>
      <c r="D663" s="939"/>
      <c r="E663" s="1211" t="str">
        <f t="shared" si="82"/>
        <v xml:space="preserve"> </v>
      </c>
      <c r="G663" s="1212" t="str">
        <f t="shared" si="83"/>
        <v xml:space="preserve"> </v>
      </c>
      <c r="H663" s="1201"/>
      <c r="I663">
        <f t="shared" si="80"/>
        <v>0</v>
      </c>
      <c r="K663">
        <f t="shared" si="81"/>
        <v>0</v>
      </c>
      <c r="L663" s="1213"/>
      <c r="N663" s="1214" t="str">
        <f t="shared" si="84"/>
        <v xml:space="preserve"> </v>
      </c>
      <c r="O663" s="1215" t="str">
        <f t="shared" si="85"/>
        <v xml:space="preserve"> </v>
      </c>
      <c r="Q663">
        <f t="shared" si="86"/>
        <v>0</v>
      </c>
      <c r="R663">
        <f t="shared" si="87"/>
        <v>0</v>
      </c>
    </row>
    <row r="664" spans="2:18" x14ac:dyDescent="0.2">
      <c r="B664" s="1209"/>
      <c r="C664" s="1210"/>
      <c r="D664" s="939"/>
      <c r="E664" s="1211" t="str">
        <f t="shared" si="82"/>
        <v xml:space="preserve"> </v>
      </c>
      <c r="G664" s="1212" t="str">
        <f t="shared" si="83"/>
        <v xml:space="preserve"> </v>
      </c>
      <c r="H664" s="1201"/>
      <c r="I664">
        <f t="shared" si="80"/>
        <v>0</v>
      </c>
      <c r="K664">
        <f t="shared" si="81"/>
        <v>0</v>
      </c>
      <c r="L664" s="1213"/>
      <c r="N664" s="1214" t="str">
        <f t="shared" si="84"/>
        <v xml:space="preserve"> </v>
      </c>
      <c r="O664" s="1215" t="str">
        <f t="shared" si="85"/>
        <v xml:space="preserve"> </v>
      </c>
      <c r="Q664">
        <f t="shared" si="86"/>
        <v>0</v>
      </c>
      <c r="R664">
        <f t="shared" si="87"/>
        <v>0</v>
      </c>
    </row>
    <row r="665" spans="2:18" x14ac:dyDescent="0.2">
      <c r="B665" s="1209"/>
      <c r="C665" s="1210"/>
      <c r="D665" s="939"/>
      <c r="E665" s="1211" t="str">
        <f t="shared" si="82"/>
        <v xml:space="preserve"> </v>
      </c>
      <c r="G665" s="1212" t="str">
        <f t="shared" si="83"/>
        <v xml:space="preserve"> </v>
      </c>
      <c r="H665" s="1201"/>
      <c r="I665">
        <f t="shared" si="80"/>
        <v>0</v>
      </c>
      <c r="K665">
        <f t="shared" si="81"/>
        <v>0</v>
      </c>
      <c r="L665" s="1213"/>
      <c r="N665" s="1214" t="str">
        <f t="shared" si="84"/>
        <v xml:space="preserve"> </v>
      </c>
      <c r="O665" s="1215" t="str">
        <f t="shared" si="85"/>
        <v xml:space="preserve"> </v>
      </c>
      <c r="Q665">
        <f t="shared" si="86"/>
        <v>0</v>
      </c>
      <c r="R665">
        <f t="shared" si="87"/>
        <v>0</v>
      </c>
    </row>
    <row r="666" spans="2:18" x14ac:dyDescent="0.2">
      <c r="B666" s="1209"/>
      <c r="C666" s="1210"/>
      <c r="D666" s="939"/>
      <c r="E666" s="1211" t="str">
        <f t="shared" si="82"/>
        <v xml:space="preserve"> </v>
      </c>
      <c r="G666" s="1212" t="str">
        <f t="shared" si="83"/>
        <v xml:space="preserve"> </v>
      </c>
      <c r="H666" s="1201"/>
      <c r="I666">
        <f t="shared" si="80"/>
        <v>0</v>
      </c>
      <c r="K666">
        <f t="shared" si="81"/>
        <v>0</v>
      </c>
      <c r="L666" s="1213"/>
      <c r="N666" s="1214" t="str">
        <f t="shared" si="84"/>
        <v xml:space="preserve"> </v>
      </c>
      <c r="O666" s="1215" t="str">
        <f t="shared" si="85"/>
        <v xml:space="preserve"> </v>
      </c>
      <c r="Q666">
        <f t="shared" si="86"/>
        <v>0</v>
      </c>
      <c r="R666">
        <f t="shared" si="87"/>
        <v>0</v>
      </c>
    </row>
    <row r="667" spans="2:18" x14ac:dyDescent="0.2">
      <c r="B667" s="1209"/>
      <c r="C667" s="1210"/>
      <c r="D667" s="939"/>
      <c r="E667" s="1211" t="str">
        <f t="shared" si="82"/>
        <v xml:space="preserve"> </v>
      </c>
      <c r="G667" s="1212" t="str">
        <f t="shared" si="83"/>
        <v xml:space="preserve"> </v>
      </c>
      <c r="H667" s="1201"/>
      <c r="I667">
        <f t="shared" si="80"/>
        <v>0</v>
      </c>
      <c r="K667">
        <f t="shared" si="81"/>
        <v>0</v>
      </c>
      <c r="L667" s="1213"/>
      <c r="N667" s="1214" t="str">
        <f t="shared" si="84"/>
        <v xml:space="preserve"> </v>
      </c>
      <c r="O667" s="1215" t="str">
        <f t="shared" si="85"/>
        <v xml:space="preserve"> </v>
      </c>
      <c r="Q667">
        <f t="shared" si="86"/>
        <v>0</v>
      </c>
      <c r="R667">
        <f t="shared" si="87"/>
        <v>0</v>
      </c>
    </row>
    <row r="668" spans="2:18" x14ac:dyDescent="0.2">
      <c r="B668" s="1209"/>
      <c r="C668" s="1210"/>
      <c r="D668" s="939"/>
      <c r="E668" s="1211" t="str">
        <f t="shared" si="82"/>
        <v xml:space="preserve"> </v>
      </c>
      <c r="G668" s="1212" t="str">
        <f t="shared" si="83"/>
        <v xml:space="preserve"> </v>
      </c>
      <c r="H668" s="1201"/>
      <c r="I668">
        <f t="shared" si="80"/>
        <v>0</v>
      </c>
      <c r="K668">
        <f t="shared" si="81"/>
        <v>0</v>
      </c>
      <c r="L668" s="1213"/>
      <c r="N668" s="1214" t="str">
        <f t="shared" si="84"/>
        <v xml:space="preserve"> </v>
      </c>
      <c r="O668" s="1215" t="str">
        <f t="shared" si="85"/>
        <v xml:space="preserve"> </v>
      </c>
      <c r="Q668">
        <f t="shared" si="86"/>
        <v>0</v>
      </c>
      <c r="R668">
        <f t="shared" si="87"/>
        <v>0</v>
      </c>
    </row>
    <row r="669" spans="2:18" x14ac:dyDescent="0.2">
      <c r="B669" s="1209"/>
      <c r="C669" s="1210"/>
      <c r="D669" s="939"/>
      <c r="E669" s="1211" t="str">
        <f t="shared" si="82"/>
        <v xml:space="preserve"> </v>
      </c>
      <c r="G669" s="1212" t="str">
        <f t="shared" si="83"/>
        <v xml:space="preserve"> </v>
      </c>
      <c r="H669" s="1201"/>
      <c r="I669">
        <f t="shared" si="80"/>
        <v>0</v>
      </c>
      <c r="K669">
        <f t="shared" si="81"/>
        <v>0</v>
      </c>
      <c r="L669" s="1213"/>
      <c r="N669" s="1214" t="str">
        <f t="shared" si="84"/>
        <v xml:space="preserve"> </v>
      </c>
      <c r="O669" s="1215" t="str">
        <f t="shared" si="85"/>
        <v xml:space="preserve"> </v>
      </c>
      <c r="Q669">
        <f t="shared" si="86"/>
        <v>0</v>
      </c>
      <c r="R669">
        <f t="shared" si="87"/>
        <v>0</v>
      </c>
    </row>
    <row r="670" spans="2:18" x14ac:dyDescent="0.2">
      <c r="B670" s="1209"/>
      <c r="C670" s="1210"/>
      <c r="D670" s="939"/>
      <c r="E670" s="1211" t="str">
        <f t="shared" si="82"/>
        <v xml:space="preserve"> </v>
      </c>
      <c r="G670" s="1212" t="str">
        <f t="shared" si="83"/>
        <v xml:space="preserve"> </v>
      </c>
      <c r="H670" s="1201"/>
      <c r="I670">
        <f t="shared" si="80"/>
        <v>0</v>
      </c>
      <c r="K670">
        <f t="shared" si="81"/>
        <v>0</v>
      </c>
      <c r="L670" s="1213"/>
      <c r="N670" s="1214" t="str">
        <f t="shared" si="84"/>
        <v xml:space="preserve"> </v>
      </c>
      <c r="O670" s="1215" t="str">
        <f t="shared" si="85"/>
        <v xml:space="preserve"> </v>
      </c>
      <c r="Q670">
        <f t="shared" si="86"/>
        <v>0</v>
      </c>
      <c r="R670">
        <f t="shared" si="87"/>
        <v>0</v>
      </c>
    </row>
    <row r="671" spans="2:18" x14ac:dyDescent="0.2">
      <c r="B671" s="1209"/>
      <c r="C671" s="1210"/>
      <c r="D671" s="939"/>
      <c r="E671" s="1211" t="str">
        <f t="shared" si="82"/>
        <v xml:space="preserve"> </v>
      </c>
      <c r="G671" s="1212" t="str">
        <f t="shared" si="83"/>
        <v xml:space="preserve"> </v>
      </c>
      <c r="H671" s="1201"/>
      <c r="I671">
        <f t="shared" si="80"/>
        <v>0</v>
      </c>
      <c r="K671">
        <f t="shared" si="81"/>
        <v>0</v>
      </c>
      <c r="L671" s="1213"/>
      <c r="N671" s="1214" t="str">
        <f t="shared" si="84"/>
        <v xml:space="preserve"> </v>
      </c>
      <c r="O671" s="1215" t="str">
        <f t="shared" si="85"/>
        <v xml:space="preserve"> </v>
      </c>
      <c r="Q671">
        <f t="shared" si="86"/>
        <v>0</v>
      </c>
      <c r="R671">
        <f t="shared" si="87"/>
        <v>0</v>
      </c>
    </row>
    <row r="672" spans="2:18" x14ac:dyDescent="0.2">
      <c r="B672" s="1209"/>
      <c r="C672" s="1210"/>
      <c r="D672" s="939"/>
      <c r="E672" s="1211" t="str">
        <f t="shared" si="82"/>
        <v xml:space="preserve"> </v>
      </c>
      <c r="G672" s="1212" t="str">
        <f t="shared" si="83"/>
        <v xml:space="preserve"> </v>
      </c>
      <c r="H672" s="1201"/>
      <c r="I672">
        <f t="shared" si="80"/>
        <v>0</v>
      </c>
      <c r="K672">
        <f t="shared" si="81"/>
        <v>0</v>
      </c>
      <c r="L672" s="1213"/>
      <c r="N672" s="1214" t="str">
        <f t="shared" si="84"/>
        <v xml:space="preserve"> </v>
      </c>
      <c r="O672" s="1215" t="str">
        <f t="shared" si="85"/>
        <v xml:space="preserve"> </v>
      </c>
      <c r="Q672">
        <f t="shared" si="86"/>
        <v>0</v>
      </c>
      <c r="R672">
        <f t="shared" si="87"/>
        <v>0</v>
      </c>
    </row>
    <row r="673" spans="2:18" x14ac:dyDescent="0.2">
      <c r="B673" s="1209"/>
      <c r="C673" s="1210"/>
      <c r="D673" s="939"/>
      <c r="E673" s="1211" t="str">
        <f t="shared" si="82"/>
        <v xml:space="preserve"> </v>
      </c>
      <c r="G673" s="1212" t="str">
        <f t="shared" si="83"/>
        <v xml:space="preserve"> </v>
      </c>
      <c r="H673" s="1201"/>
      <c r="I673">
        <f t="shared" si="80"/>
        <v>0</v>
      </c>
      <c r="K673">
        <f t="shared" si="81"/>
        <v>0</v>
      </c>
      <c r="L673" s="1213"/>
      <c r="N673" s="1214" t="str">
        <f t="shared" si="84"/>
        <v xml:space="preserve"> </v>
      </c>
      <c r="O673" s="1215" t="str">
        <f t="shared" si="85"/>
        <v xml:space="preserve"> </v>
      </c>
      <c r="Q673">
        <f t="shared" si="86"/>
        <v>0</v>
      </c>
      <c r="R673">
        <f t="shared" si="87"/>
        <v>0</v>
      </c>
    </row>
    <row r="674" spans="2:18" x14ac:dyDescent="0.2">
      <c r="B674" s="1209"/>
      <c r="C674" s="1210"/>
      <c r="D674" s="939"/>
      <c r="E674" s="1211" t="str">
        <f t="shared" si="82"/>
        <v xml:space="preserve"> </v>
      </c>
      <c r="G674" s="1212" t="str">
        <f t="shared" si="83"/>
        <v xml:space="preserve"> </v>
      </c>
      <c r="H674" s="1201"/>
      <c r="I674">
        <f t="shared" si="80"/>
        <v>0</v>
      </c>
      <c r="K674">
        <f t="shared" si="81"/>
        <v>0</v>
      </c>
      <c r="L674" s="1213"/>
      <c r="N674" s="1214" t="str">
        <f t="shared" si="84"/>
        <v xml:space="preserve"> </v>
      </c>
      <c r="O674" s="1215" t="str">
        <f t="shared" si="85"/>
        <v xml:space="preserve"> </v>
      </c>
      <c r="Q674">
        <f t="shared" si="86"/>
        <v>0</v>
      </c>
      <c r="R674">
        <f t="shared" si="87"/>
        <v>0</v>
      </c>
    </row>
    <row r="675" spans="2:18" x14ac:dyDescent="0.2">
      <c r="B675" s="1209"/>
      <c r="C675" s="1210"/>
      <c r="D675" s="939"/>
      <c r="E675" s="1211" t="str">
        <f t="shared" si="82"/>
        <v xml:space="preserve"> </v>
      </c>
      <c r="G675" s="1212" t="str">
        <f t="shared" si="83"/>
        <v xml:space="preserve"> </v>
      </c>
      <c r="H675" s="1201"/>
      <c r="I675">
        <f t="shared" si="80"/>
        <v>0</v>
      </c>
      <c r="K675">
        <f t="shared" si="81"/>
        <v>0</v>
      </c>
      <c r="L675" s="1213"/>
      <c r="N675" s="1214" t="str">
        <f t="shared" si="84"/>
        <v xml:space="preserve"> </v>
      </c>
      <c r="O675" s="1215" t="str">
        <f t="shared" si="85"/>
        <v xml:space="preserve"> </v>
      </c>
      <c r="Q675">
        <f t="shared" si="86"/>
        <v>0</v>
      </c>
      <c r="R675">
        <f t="shared" si="87"/>
        <v>0</v>
      </c>
    </row>
    <row r="676" spans="2:18" x14ac:dyDescent="0.2">
      <c r="B676" s="1209"/>
      <c r="C676" s="1210"/>
      <c r="D676" s="939"/>
      <c r="E676" s="1211" t="str">
        <f t="shared" si="82"/>
        <v xml:space="preserve"> </v>
      </c>
      <c r="G676" s="1212" t="str">
        <f t="shared" si="83"/>
        <v xml:space="preserve"> </v>
      </c>
      <c r="H676" s="1201"/>
      <c r="I676">
        <f t="shared" si="80"/>
        <v>0</v>
      </c>
      <c r="K676">
        <f t="shared" si="81"/>
        <v>0</v>
      </c>
      <c r="L676" s="1213"/>
      <c r="N676" s="1214" t="str">
        <f t="shared" si="84"/>
        <v xml:space="preserve"> </v>
      </c>
      <c r="O676" s="1215" t="str">
        <f t="shared" si="85"/>
        <v xml:space="preserve"> </v>
      </c>
      <c r="Q676">
        <f t="shared" si="86"/>
        <v>0</v>
      </c>
      <c r="R676">
        <f t="shared" si="87"/>
        <v>0</v>
      </c>
    </row>
    <row r="677" spans="2:18" x14ac:dyDescent="0.2">
      <c r="B677" s="1209"/>
      <c r="C677" s="1210"/>
      <c r="D677" s="939"/>
      <c r="E677" s="1211" t="str">
        <f t="shared" si="82"/>
        <v xml:space="preserve"> </v>
      </c>
      <c r="G677" s="1212" t="str">
        <f t="shared" si="83"/>
        <v xml:space="preserve"> </v>
      </c>
      <c r="H677" s="1201"/>
      <c r="I677">
        <f t="shared" si="80"/>
        <v>0</v>
      </c>
      <c r="K677">
        <f t="shared" si="81"/>
        <v>0</v>
      </c>
      <c r="L677" s="1213"/>
      <c r="N677" s="1214" t="str">
        <f t="shared" si="84"/>
        <v xml:space="preserve"> </v>
      </c>
      <c r="O677" s="1215" t="str">
        <f t="shared" si="85"/>
        <v xml:space="preserve"> </v>
      </c>
      <c r="Q677">
        <f t="shared" si="86"/>
        <v>0</v>
      </c>
      <c r="R677">
        <f t="shared" si="87"/>
        <v>0</v>
      </c>
    </row>
    <row r="678" spans="2:18" x14ac:dyDescent="0.2">
      <c r="B678" s="1209"/>
      <c r="C678" s="1210"/>
      <c r="D678" s="939"/>
      <c r="E678" s="1211" t="str">
        <f t="shared" si="82"/>
        <v xml:space="preserve"> </v>
      </c>
      <c r="G678" s="1212" t="str">
        <f t="shared" si="83"/>
        <v xml:space="preserve"> </v>
      </c>
      <c r="H678" s="1201"/>
      <c r="I678">
        <f t="shared" si="80"/>
        <v>0</v>
      </c>
      <c r="K678">
        <f t="shared" si="81"/>
        <v>0</v>
      </c>
      <c r="L678" s="1213"/>
      <c r="N678" s="1214" t="str">
        <f t="shared" si="84"/>
        <v xml:space="preserve"> </v>
      </c>
      <c r="O678" s="1215" t="str">
        <f t="shared" si="85"/>
        <v xml:space="preserve"> </v>
      </c>
      <c r="Q678">
        <f t="shared" si="86"/>
        <v>0</v>
      </c>
      <c r="R678">
        <f t="shared" si="87"/>
        <v>0</v>
      </c>
    </row>
    <row r="679" spans="2:18" x14ac:dyDescent="0.2">
      <c r="B679" s="1209"/>
      <c r="C679" s="1210"/>
      <c r="D679" s="939"/>
      <c r="E679" s="1211" t="str">
        <f t="shared" si="82"/>
        <v xml:space="preserve"> </v>
      </c>
      <c r="G679" s="1212" t="str">
        <f t="shared" si="83"/>
        <v xml:space="preserve"> </v>
      </c>
      <c r="H679" s="1201"/>
      <c r="I679">
        <f t="shared" si="80"/>
        <v>0</v>
      </c>
      <c r="K679">
        <f t="shared" si="81"/>
        <v>0</v>
      </c>
      <c r="L679" s="1213"/>
      <c r="N679" s="1214" t="str">
        <f t="shared" si="84"/>
        <v xml:space="preserve"> </v>
      </c>
      <c r="O679" s="1215" t="str">
        <f t="shared" si="85"/>
        <v xml:space="preserve"> </v>
      </c>
      <c r="Q679">
        <f t="shared" si="86"/>
        <v>0</v>
      </c>
      <c r="R679">
        <f t="shared" si="87"/>
        <v>0</v>
      </c>
    </row>
    <row r="680" spans="2:18" x14ac:dyDescent="0.2">
      <c r="B680" s="1209"/>
      <c r="C680" s="1210"/>
      <c r="D680" s="939"/>
      <c r="E680" s="1211" t="str">
        <f t="shared" si="82"/>
        <v xml:space="preserve"> </v>
      </c>
      <c r="G680" s="1212" t="str">
        <f t="shared" si="83"/>
        <v xml:space="preserve"> </v>
      </c>
      <c r="H680" s="1201"/>
      <c r="I680">
        <f t="shared" si="80"/>
        <v>0</v>
      </c>
      <c r="K680">
        <f t="shared" si="81"/>
        <v>0</v>
      </c>
      <c r="L680" s="1213"/>
      <c r="N680" s="1214" t="str">
        <f t="shared" si="84"/>
        <v xml:space="preserve"> </v>
      </c>
      <c r="O680" s="1215" t="str">
        <f t="shared" si="85"/>
        <v xml:space="preserve"> </v>
      </c>
      <c r="Q680">
        <f t="shared" si="86"/>
        <v>0</v>
      </c>
      <c r="R680">
        <f t="shared" si="87"/>
        <v>0</v>
      </c>
    </row>
    <row r="681" spans="2:18" x14ac:dyDescent="0.2">
      <c r="B681" s="1209"/>
      <c r="C681" s="1210"/>
      <c r="D681" s="939"/>
      <c r="E681" s="1211" t="str">
        <f t="shared" si="82"/>
        <v xml:space="preserve"> </v>
      </c>
      <c r="G681" s="1212" t="str">
        <f t="shared" si="83"/>
        <v xml:space="preserve"> </v>
      </c>
      <c r="H681" s="1201"/>
      <c r="I681">
        <f t="shared" si="80"/>
        <v>0</v>
      </c>
      <c r="K681">
        <f t="shared" si="81"/>
        <v>0</v>
      </c>
      <c r="L681" s="1213"/>
      <c r="N681" s="1214" t="str">
        <f t="shared" si="84"/>
        <v xml:space="preserve"> </v>
      </c>
      <c r="O681" s="1215" t="str">
        <f t="shared" si="85"/>
        <v xml:space="preserve"> </v>
      </c>
      <c r="Q681">
        <f t="shared" si="86"/>
        <v>0</v>
      </c>
      <c r="R681">
        <f t="shared" si="87"/>
        <v>0</v>
      </c>
    </row>
    <row r="682" spans="2:18" x14ac:dyDescent="0.2">
      <c r="B682" s="1209"/>
      <c r="C682" s="1210"/>
      <c r="D682" s="939"/>
      <c r="E682" s="1211" t="str">
        <f t="shared" si="82"/>
        <v xml:space="preserve"> </v>
      </c>
      <c r="G682" s="1212" t="str">
        <f t="shared" si="83"/>
        <v xml:space="preserve"> </v>
      </c>
      <c r="H682" s="1201"/>
      <c r="I682">
        <f t="shared" si="80"/>
        <v>0</v>
      </c>
      <c r="K682">
        <f t="shared" si="81"/>
        <v>0</v>
      </c>
      <c r="L682" s="1213"/>
      <c r="N682" s="1214" t="str">
        <f t="shared" si="84"/>
        <v xml:space="preserve"> </v>
      </c>
      <c r="O682" s="1215" t="str">
        <f t="shared" si="85"/>
        <v xml:space="preserve"> </v>
      </c>
      <c r="Q682">
        <f t="shared" si="86"/>
        <v>0</v>
      </c>
      <c r="R682">
        <f t="shared" si="87"/>
        <v>0</v>
      </c>
    </row>
    <row r="683" spans="2:18" x14ac:dyDescent="0.2">
      <c r="B683" s="1209"/>
      <c r="C683" s="1210"/>
      <c r="D683" s="939"/>
      <c r="E683" s="1211" t="str">
        <f t="shared" si="82"/>
        <v xml:space="preserve"> </v>
      </c>
      <c r="G683" s="1212" t="str">
        <f t="shared" si="83"/>
        <v xml:space="preserve"> </v>
      </c>
      <c r="H683" s="1201"/>
      <c r="I683">
        <f t="shared" si="80"/>
        <v>0</v>
      </c>
      <c r="K683">
        <f t="shared" si="81"/>
        <v>0</v>
      </c>
      <c r="L683" s="1213"/>
      <c r="N683" s="1214" t="str">
        <f t="shared" si="84"/>
        <v xml:space="preserve"> </v>
      </c>
      <c r="O683" s="1215" t="str">
        <f t="shared" si="85"/>
        <v xml:space="preserve"> </v>
      </c>
      <c r="Q683">
        <f t="shared" si="86"/>
        <v>0</v>
      </c>
      <c r="R683">
        <f t="shared" si="87"/>
        <v>0</v>
      </c>
    </row>
    <row r="684" spans="2:18" x14ac:dyDescent="0.2">
      <c r="B684" s="1209"/>
      <c r="C684" s="1210"/>
      <c r="D684" s="939"/>
      <c r="E684" s="1211" t="str">
        <f t="shared" si="82"/>
        <v xml:space="preserve"> </v>
      </c>
      <c r="G684" s="1212" t="str">
        <f t="shared" si="83"/>
        <v xml:space="preserve"> </v>
      </c>
      <c r="H684" s="1201"/>
      <c r="I684">
        <f t="shared" si="80"/>
        <v>0</v>
      </c>
      <c r="K684">
        <f t="shared" si="81"/>
        <v>0</v>
      </c>
      <c r="L684" s="1213"/>
      <c r="N684" s="1214" t="str">
        <f t="shared" si="84"/>
        <v xml:space="preserve"> </v>
      </c>
      <c r="O684" s="1215" t="str">
        <f t="shared" si="85"/>
        <v xml:space="preserve"> </v>
      </c>
      <c r="Q684">
        <f t="shared" si="86"/>
        <v>0</v>
      </c>
      <c r="R684">
        <f t="shared" si="87"/>
        <v>0</v>
      </c>
    </row>
    <row r="685" spans="2:18" x14ac:dyDescent="0.2">
      <c r="B685" s="1209"/>
      <c r="C685" s="1210"/>
      <c r="D685" s="939"/>
      <c r="E685" s="1211" t="str">
        <f t="shared" si="82"/>
        <v xml:space="preserve"> </v>
      </c>
      <c r="G685" s="1212" t="str">
        <f t="shared" si="83"/>
        <v xml:space="preserve"> </v>
      </c>
      <c r="H685" s="1201"/>
      <c r="I685">
        <f t="shared" si="80"/>
        <v>0</v>
      </c>
      <c r="K685">
        <f t="shared" si="81"/>
        <v>0</v>
      </c>
      <c r="L685" s="1213"/>
      <c r="N685" s="1214" t="str">
        <f t="shared" si="84"/>
        <v xml:space="preserve"> </v>
      </c>
      <c r="O685" s="1215" t="str">
        <f t="shared" si="85"/>
        <v xml:space="preserve"> </v>
      </c>
      <c r="Q685">
        <f t="shared" si="86"/>
        <v>0</v>
      </c>
      <c r="R685">
        <f t="shared" si="87"/>
        <v>0</v>
      </c>
    </row>
    <row r="686" spans="2:18" x14ac:dyDescent="0.2">
      <c r="B686" s="1209"/>
      <c r="C686" s="1210"/>
      <c r="D686" s="939"/>
      <c r="E686" s="1211" t="str">
        <f t="shared" si="82"/>
        <v xml:space="preserve"> </v>
      </c>
      <c r="G686" s="1212" t="str">
        <f t="shared" si="83"/>
        <v xml:space="preserve"> </v>
      </c>
      <c r="H686" s="1201"/>
      <c r="I686">
        <f t="shared" si="80"/>
        <v>0</v>
      </c>
      <c r="K686">
        <f t="shared" si="81"/>
        <v>0</v>
      </c>
      <c r="L686" s="1213"/>
      <c r="N686" s="1214" t="str">
        <f t="shared" si="84"/>
        <v xml:space="preserve"> </v>
      </c>
      <c r="O686" s="1215" t="str">
        <f t="shared" si="85"/>
        <v xml:space="preserve"> </v>
      </c>
      <c r="Q686">
        <f t="shared" si="86"/>
        <v>0</v>
      </c>
      <c r="R686">
        <f t="shared" si="87"/>
        <v>0</v>
      </c>
    </row>
    <row r="687" spans="2:18" x14ac:dyDescent="0.2">
      <c r="B687" s="1209"/>
      <c r="C687" s="1210"/>
      <c r="D687" s="939"/>
      <c r="E687" s="1211" t="str">
        <f t="shared" si="82"/>
        <v xml:space="preserve"> </v>
      </c>
      <c r="G687" s="1212" t="str">
        <f t="shared" si="83"/>
        <v xml:space="preserve"> </v>
      </c>
      <c r="H687" s="1201"/>
      <c r="I687">
        <f t="shared" si="80"/>
        <v>0</v>
      </c>
      <c r="K687">
        <f t="shared" si="81"/>
        <v>0</v>
      </c>
      <c r="L687" s="1213"/>
      <c r="N687" s="1214" t="str">
        <f t="shared" si="84"/>
        <v xml:space="preserve"> </v>
      </c>
      <c r="O687" s="1215" t="str">
        <f t="shared" si="85"/>
        <v xml:space="preserve"> </v>
      </c>
      <c r="Q687">
        <f t="shared" si="86"/>
        <v>0</v>
      </c>
      <c r="R687">
        <f t="shared" si="87"/>
        <v>0</v>
      </c>
    </row>
    <row r="688" spans="2:18" x14ac:dyDescent="0.2">
      <c r="B688" s="1209"/>
      <c r="C688" s="1210"/>
      <c r="D688" s="939"/>
      <c r="E688" s="1211" t="str">
        <f t="shared" si="82"/>
        <v xml:space="preserve"> </v>
      </c>
      <c r="G688" s="1212" t="str">
        <f t="shared" si="83"/>
        <v xml:space="preserve"> </v>
      </c>
      <c r="H688" s="1201"/>
      <c r="I688">
        <f t="shared" si="80"/>
        <v>0</v>
      </c>
      <c r="K688">
        <f t="shared" si="81"/>
        <v>0</v>
      </c>
      <c r="L688" s="1213"/>
      <c r="N688" s="1214" t="str">
        <f t="shared" si="84"/>
        <v xml:space="preserve"> </v>
      </c>
      <c r="O688" s="1215" t="str">
        <f t="shared" si="85"/>
        <v xml:space="preserve"> </v>
      </c>
      <c r="Q688">
        <f t="shared" si="86"/>
        <v>0</v>
      </c>
      <c r="R688">
        <f t="shared" si="87"/>
        <v>0</v>
      </c>
    </row>
    <row r="689" spans="2:18" x14ac:dyDescent="0.2">
      <c r="B689" s="1209"/>
      <c r="C689" s="1210"/>
      <c r="D689" s="939"/>
      <c r="E689" s="1211" t="str">
        <f t="shared" si="82"/>
        <v xml:space="preserve"> </v>
      </c>
      <c r="G689" s="1212" t="str">
        <f t="shared" si="83"/>
        <v xml:space="preserve"> </v>
      </c>
      <c r="H689" s="1201"/>
      <c r="I689">
        <f t="shared" si="80"/>
        <v>0</v>
      </c>
      <c r="K689">
        <f t="shared" si="81"/>
        <v>0</v>
      </c>
      <c r="L689" s="1213"/>
      <c r="N689" s="1214" t="str">
        <f t="shared" si="84"/>
        <v xml:space="preserve"> </v>
      </c>
      <c r="O689" s="1215" t="str">
        <f t="shared" si="85"/>
        <v xml:space="preserve"> </v>
      </c>
      <c r="Q689">
        <f t="shared" si="86"/>
        <v>0</v>
      </c>
      <c r="R689">
        <f t="shared" si="87"/>
        <v>0</v>
      </c>
    </row>
    <row r="690" spans="2:18" x14ac:dyDescent="0.2">
      <c r="B690" s="1209"/>
      <c r="C690" s="1210"/>
      <c r="D690" s="939"/>
      <c r="E690" s="1211" t="str">
        <f t="shared" si="82"/>
        <v xml:space="preserve"> </v>
      </c>
      <c r="G690" s="1212" t="str">
        <f t="shared" si="83"/>
        <v xml:space="preserve"> </v>
      </c>
      <c r="H690" s="1201"/>
      <c r="I690">
        <f t="shared" si="80"/>
        <v>0</v>
      </c>
      <c r="K690">
        <f t="shared" si="81"/>
        <v>0</v>
      </c>
      <c r="L690" s="1213"/>
      <c r="N690" s="1214" t="str">
        <f t="shared" si="84"/>
        <v xml:space="preserve"> </v>
      </c>
      <c r="O690" s="1215" t="str">
        <f t="shared" si="85"/>
        <v xml:space="preserve"> </v>
      </c>
      <c r="Q690">
        <f t="shared" si="86"/>
        <v>0</v>
      </c>
      <c r="R690">
        <f t="shared" si="87"/>
        <v>0</v>
      </c>
    </row>
    <row r="691" spans="2:18" x14ac:dyDescent="0.2">
      <c r="B691" s="1209"/>
      <c r="C691" s="1210"/>
      <c r="D691" s="939"/>
      <c r="E691" s="1211" t="str">
        <f t="shared" si="82"/>
        <v xml:space="preserve"> </v>
      </c>
      <c r="G691" s="1212" t="str">
        <f t="shared" si="83"/>
        <v xml:space="preserve"> </v>
      </c>
      <c r="H691" s="1201"/>
      <c r="I691">
        <f t="shared" si="80"/>
        <v>0</v>
      </c>
      <c r="K691">
        <f t="shared" si="81"/>
        <v>0</v>
      </c>
      <c r="L691" s="1213"/>
      <c r="N691" s="1214" t="str">
        <f t="shared" si="84"/>
        <v xml:space="preserve"> </v>
      </c>
      <c r="O691" s="1215" t="str">
        <f t="shared" si="85"/>
        <v xml:space="preserve"> </v>
      </c>
      <c r="Q691">
        <f t="shared" si="86"/>
        <v>0</v>
      </c>
      <c r="R691">
        <f t="shared" si="87"/>
        <v>0</v>
      </c>
    </row>
    <row r="692" spans="2:18" x14ac:dyDescent="0.2">
      <c r="B692" s="1209"/>
      <c r="C692" s="1210"/>
      <c r="D692" s="939"/>
      <c r="E692" s="1211" t="str">
        <f t="shared" si="82"/>
        <v xml:space="preserve"> </v>
      </c>
      <c r="G692" s="1212" t="str">
        <f t="shared" si="83"/>
        <v xml:space="preserve"> </v>
      </c>
      <c r="H692" s="1201"/>
      <c r="I692">
        <f t="shared" si="80"/>
        <v>0</v>
      </c>
      <c r="K692">
        <f t="shared" si="81"/>
        <v>0</v>
      </c>
      <c r="L692" s="1213"/>
      <c r="N692" s="1214" t="str">
        <f t="shared" si="84"/>
        <v xml:space="preserve"> </v>
      </c>
      <c r="O692" s="1215" t="str">
        <f t="shared" si="85"/>
        <v xml:space="preserve"> </v>
      </c>
      <c r="Q692">
        <f t="shared" si="86"/>
        <v>0</v>
      </c>
      <c r="R692">
        <f t="shared" si="87"/>
        <v>0</v>
      </c>
    </row>
    <row r="693" spans="2:18" x14ac:dyDescent="0.2">
      <c r="B693" s="1209"/>
      <c r="C693" s="1210"/>
      <c r="D693" s="939"/>
      <c r="E693" s="1211" t="str">
        <f t="shared" si="82"/>
        <v xml:space="preserve"> </v>
      </c>
      <c r="G693" s="1212" t="str">
        <f t="shared" si="83"/>
        <v xml:space="preserve"> </v>
      </c>
      <c r="H693" s="1201"/>
      <c r="I693">
        <f t="shared" si="80"/>
        <v>0</v>
      </c>
      <c r="K693">
        <f t="shared" si="81"/>
        <v>0</v>
      </c>
      <c r="L693" s="1213"/>
      <c r="N693" s="1214" t="str">
        <f t="shared" si="84"/>
        <v xml:space="preserve"> </v>
      </c>
      <c r="O693" s="1215" t="str">
        <f t="shared" si="85"/>
        <v xml:space="preserve"> </v>
      </c>
      <c r="Q693">
        <f t="shared" si="86"/>
        <v>0</v>
      </c>
      <c r="R693">
        <f t="shared" si="87"/>
        <v>0</v>
      </c>
    </row>
    <row r="694" spans="2:18" x14ac:dyDescent="0.2">
      <c r="B694" s="1209"/>
      <c r="C694" s="1210"/>
      <c r="D694" s="939"/>
      <c r="E694" s="1211" t="str">
        <f t="shared" si="82"/>
        <v xml:space="preserve"> </v>
      </c>
      <c r="G694" s="1212" t="str">
        <f t="shared" si="83"/>
        <v xml:space="preserve"> </v>
      </c>
      <c r="H694" s="1201"/>
      <c r="I694">
        <f t="shared" si="80"/>
        <v>0</v>
      </c>
      <c r="K694">
        <f t="shared" si="81"/>
        <v>0</v>
      </c>
      <c r="L694" s="1213"/>
      <c r="N694" s="1214" t="str">
        <f t="shared" si="84"/>
        <v xml:space="preserve"> </v>
      </c>
      <c r="O694" s="1215" t="str">
        <f t="shared" si="85"/>
        <v xml:space="preserve"> </v>
      </c>
      <c r="Q694">
        <f t="shared" si="86"/>
        <v>0</v>
      </c>
      <c r="R694">
        <f t="shared" si="87"/>
        <v>0</v>
      </c>
    </row>
    <row r="695" spans="2:18" x14ac:dyDescent="0.2">
      <c r="B695" s="1209"/>
      <c r="C695" s="1210"/>
      <c r="D695" s="939"/>
      <c r="E695" s="1211" t="str">
        <f t="shared" si="82"/>
        <v xml:space="preserve"> </v>
      </c>
      <c r="G695" s="1212" t="str">
        <f t="shared" si="83"/>
        <v xml:space="preserve"> </v>
      </c>
      <c r="H695" s="1201"/>
      <c r="I695">
        <f t="shared" si="80"/>
        <v>0</v>
      </c>
      <c r="K695">
        <f t="shared" si="81"/>
        <v>0</v>
      </c>
      <c r="L695" s="1213"/>
      <c r="N695" s="1214" t="str">
        <f t="shared" si="84"/>
        <v xml:space="preserve"> </v>
      </c>
      <c r="O695" s="1215" t="str">
        <f t="shared" si="85"/>
        <v xml:space="preserve"> </v>
      </c>
      <c r="Q695">
        <f t="shared" si="86"/>
        <v>0</v>
      </c>
      <c r="R695">
        <f t="shared" si="87"/>
        <v>0</v>
      </c>
    </row>
    <row r="696" spans="2:18" x14ac:dyDescent="0.2">
      <c r="B696" s="1209"/>
      <c r="C696" s="1210"/>
      <c r="D696" s="939"/>
      <c r="E696" s="1211" t="str">
        <f t="shared" si="82"/>
        <v xml:space="preserve"> </v>
      </c>
      <c r="G696" s="1212" t="str">
        <f t="shared" si="83"/>
        <v xml:space="preserve"> </v>
      </c>
      <c r="H696" s="1201"/>
      <c r="I696">
        <f t="shared" si="80"/>
        <v>0</v>
      </c>
      <c r="K696">
        <f t="shared" si="81"/>
        <v>0</v>
      </c>
      <c r="L696" s="1213"/>
      <c r="N696" s="1214" t="str">
        <f t="shared" si="84"/>
        <v xml:space="preserve"> </v>
      </c>
      <c r="O696" s="1215" t="str">
        <f t="shared" si="85"/>
        <v xml:space="preserve"> </v>
      </c>
      <c r="Q696">
        <f t="shared" si="86"/>
        <v>0</v>
      </c>
      <c r="R696">
        <f t="shared" si="87"/>
        <v>0</v>
      </c>
    </row>
    <row r="697" spans="2:18" x14ac:dyDescent="0.2">
      <c r="B697" s="1209"/>
      <c r="C697" s="1210"/>
      <c r="D697" s="939"/>
      <c r="E697" s="1211" t="str">
        <f t="shared" si="82"/>
        <v xml:space="preserve"> </v>
      </c>
      <c r="G697" s="1212" t="str">
        <f t="shared" si="83"/>
        <v xml:space="preserve"> </v>
      </c>
      <c r="H697" s="1201"/>
      <c r="I697">
        <f t="shared" si="80"/>
        <v>0</v>
      </c>
      <c r="K697">
        <f t="shared" si="81"/>
        <v>0</v>
      </c>
      <c r="L697" s="1213"/>
      <c r="N697" s="1214" t="str">
        <f t="shared" si="84"/>
        <v xml:space="preserve"> </v>
      </c>
      <c r="O697" s="1215" t="str">
        <f t="shared" si="85"/>
        <v xml:space="preserve"> </v>
      </c>
      <c r="Q697">
        <f t="shared" si="86"/>
        <v>0</v>
      </c>
      <c r="R697">
        <f t="shared" si="87"/>
        <v>0</v>
      </c>
    </row>
    <row r="698" spans="2:18" x14ac:dyDescent="0.2">
      <c r="B698" s="1209"/>
      <c r="C698" s="1210"/>
      <c r="D698" s="939"/>
      <c r="E698" s="1211" t="str">
        <f t="shared" si="82"/>
        <v xml:space="preserve"> </v>
      </c>
      <c r="G698" s="1212" t="str">
        <f t="shared" si="83"/>
        <v xml:space="preserve"> </v>
      </c>
      <c r="H698" s="1201"/>
      <c r="I698">
        <f t="shared" si="80"/>
        <v>0</v>
      </c>
      <c r="K698">
        <f t="shared" si="81"/>
        <v>0</v>
      </c>
      <c r="L698" s="1213"/>
      <c r="N698" s="1214" t="str">
        <f t="shared" si="84"/>
        <v xml:space="preserve"> </v>
      </c>
      <c r="O698" s="1215" t="str">
        <f t="shared" si="85"/>
        <v xml:space="preserve"> </v>
      </c>
      <c r="Q698">
        <f t="shared" si="86"/>
        <v>0</v>
      </c>
      <c r="R698">
        <f t="shared" si="87"/>
        <v>0</v>
      </c>
    </row>
    <row r="699" spans="2:18" x14ac:dyDescent="0.2">
      <c r="B699" s="1209"/>
      <c r="C699" s="1210"/>
      <c r="D699" s="939"/>
      <c r="E699" s="1211" t="str">
        <f t="shared" si="82"/>
        <v xml:space="preserve"> </v>
      </c>
      <c r="G699" s="1212" t="str">
        <f t="shared" si="83"/>
        <v xml:space="preserve"> </v>
      </c>
      <c r="H699" s="1201"/>
      <c r="I699">
        <f t="shared" si="80"/>
        <v>0</v>
      </c>
      <c r="K699">
        <f t="shared" si="81"/>
        <v>0</v>
      </c>
      <c r="L699" s="1213"/>
      <c r="N699" s="1214" t="str">
        <f t="shared" si="84"/>
        <v xml:space="preserve"> </v>
      </c>
      <c r="O699" s="1215" t="str">
        <f t="shared" si="85"/>
        <v xml:space="preserve"> </v>
      </c>
      <c r="Q699">
        <f t="shared" si="86"/>
        <v>0</v>
      </c>
      <c r="R699">
        <f t="shared" si="87"/>
        <v>0</v>
      </c>
    </row>
    <row r="700" spans="2:18" x14ac:dyDescent="0.2">
      <c r="B700" s="1209"/>
      <c r="C700" s="1210"/>
      <c r="D700" s="939"/>
      <c r="E700" s="1211" t="str">
        <f t="shared" si="82"/>
        <v xml:space="preserve"> </v>
      </c>
      <c r="G700" s="1212" t="str">
        <f t="shared" si="83"/>
        <v xml:space="preserve"> </v>
      </c>
      <c r="H700" s="1201"/>
      <c r="I700">
        <f t="shared" si="80"/>
        <v>0</v>
      </c>
      <c r="K700">
        <f t="shared" si="81"/>
        <v>0</v>
      </c>
      <c r="L700" s="1213"/>
      <c r="N700" s="1214" t="str">
        <f t="shared" si="84"/>
        <v xml:space="preserve"> </v>
      </c>
      <c r="O700" s="1215" t="str">
        <f t="shared" si="85"/>
        <v xml:space="preserve"> </v>
      </c>
      <c r="Q700">
        <f t="shared" si="86"/>
        <v>0</v>
      </c>
      <c r="R700">
        <f t="shared" si="87"/>
        <v>0</v>
      </c>
    </row>
    <row r="701" spans="2:18" x14ac:dyDescent="0.2">
      <c r="B701" s="1209"/>
      <c r="C701" s="1210"/>
      <c r="D701" s="939"/>
      <c r="E701" s="1211" t="str">
        <f t="shared" si="82"/>
        <v xml:space="preserve"> </v>
      </c>
      <c r="G701" s="1212" t="str">
        <f t="shared" si="83"/>
        <v xml:space="preserve"> </v>
      </c>
      <c r="H701" s="1201"/>
      <c r="I701">
        <f t="shared" si="80"/>
        <v>0</v>
      </c>
      <c r="K701">
        <f t="shared" si="81"/>
        <v>0</v>
      </c>
      <c r="L701" s="1213"/>
      <c r="N701" s="1214" t="str">
        <f t="shared" si="84"/>
        <v xml:space="preserve"> </v>
      </c>
      <c r="O701" s="1215" t="str">
        <f t="shared" si="85"/>
        <v xml:space="preserve"> </v>
      </c>
      <c r="Q701">
        <f t="shared" si="86"/>
        <v>0</v>
      </c>
      <c r="R701">
        <f t="shared" si="87"/>
        <v>0</v>
      </c>
    </row>
    <row r="702" spans="2:18" x14ac:dyDescent="0.2">
      <c r="B702" s="1209"/>
      <c r="C702" s="1210"/>
      <c r="D702" s="939"/>
      <c r="E702" s="1211" t="str">
        <f t="shared" si="82"/>
        <v xml:space="preserve"> </v>
      </c>
      <c r="G702" s="1212" t="str">
        <f t="shared" si="83"/>
        <v xml:space="preserve"> </v>
      </c>
      <c r="H702" s="1201"/>
      <c r="I702">
        <f t="shared" si="80"/>
        <v>0</v>
      </c>
      <c r="K702">
        <f t="shared" si="81"/>
        <v>0</v>
      </c>
      <c r="L702" s="1213"/>
      <c r="N702" s="1214" t="str">
        <f t="shared" si="84"/>
        <v xml:space="preserve"> </v>
      </c>
      <c r="O702" s="1215" t="str">
        <f t="shared" si="85"/>
        <v xml:space="preserve"> </v>
      </c>
      <c r="Q702">
        <f t="shared" si="86"/>
        <v>0</v>
      </c>
      <c r="R702">
        <f t="shared" si="87"/>
        <v>0</v>
      </c>
    </row>
    <row r="703" spans="2:18" x14ac:dyDescent="0.2">
      <c r="B703" s="1209"/>
      <c r="C703" s="1210"/>
      <c r="D703" s="939"/>
      <c r="E703" s="1211" t="str">
        <f t="shared" si="82"/>
        <v xml:space="preserve"> </v>
      </c>
      <c r="G703" s="1212" t="str">
        <f t="shared" si="83"/>
        <v xml:space="preserve"> </v>
      </c>
      <c r="H703" s="1201"/>
      <c r="I703">
        <f t="shared" si="80"/>
        <v>0</v>
      </c>
      <c r="K703">
        <f t="shared" si="81"/>
        <v>0</v>
      </c>
      <c r="L703" s="1213"/>
      <c r="N703" s="1214" t="str">
        <f t="shared" si="84"/>
        <v xml:space="preserve"> </v>
      </c>
      <c r="O703" s="1215" t="str">
        <f t="shared" si="85"/>
        <v xml:space="preserve"> </v>
      </c>
      <c r="Q703">
        <f t="shared" si="86"/>
        <v>0</v>
      </c>
      <c r="R703">
        <f t="shared" si="87"/>
        <v>0</v>
      </c>
    </row>
    <row r="704" spans="2:18" x14ac:dyDescent="0.2">
      <c r="B704" s="1209"/>
      <c r="C704" s="1210"/>
      <c r="D704" s="939"/>
      <c r="E704" s="1211" t="str">
        <f t="shared" si="82"/>
        <v xml:space="preserve"> </v>
      </c>
      <c r="G704" s="1212" t="str">
        <f t="shared" si="83"/>
        <v xml:space="preserve"> </v>
      </c>
      <c r="H704" s="1201"/>
      <c r="I704">
        <f t="shared" si="80"/>
        <v>0</v>
      </c>
      <c r="K704">
        <f t="shared" si="81"/>
        <v>0</v>
      </c>
      <c r="L704" s="1213"/>
      <c r="N704" s="1214" t="str">
        <f t="shared" si="84"/>
        <v xml:space="preserve"> </v>
      </c>
      <c r="O704" s="1215" t="str">
        <f t="shared" si="85"/>
        <v xml:space="preserve"> </v>
      </c>
      <c r="Q704">
        <f t="shared" si="86"/>
        <v>0</v>
      </c>
      <c r="R704">
        <f t="shared" si="87"/>
        <v>0</v>
      </c>
    </row>
    <row r="705" spans="2:18" x14ac:dyDescent="0.2">
      <c r="B705" s="1209"/>
      <c r="C705" s="1210"/>
      <c r="D705" s="939"/>
      <c r="E705" s="1211" t="str">
        <f t="shared" si="82"/>
        <v xml:space="preserve"> </v>
      </c>
      <c r="G705" s="1212" t="str">
        <f t="shared" si="83"/>
        <v xml:space="preserve"> </v>
      </c>
      <c r="H705" s="1201"/>
      <c r="I705">
        <f t="shared" si="80"/>
        <v>0</v>
      </c>
      <c r="K705">
        <f t="shared" si="81"/>
        <v>0</v>
      </c>
      <c r="L705" s="1213"/>
      <c r="N705" s="1214" t="str">
        <f t="shared" si="84"/>
        <v xml:space="preserve"> </v>
      </c>
      <c r="O705" s="1215" t="str">
        <f t="shared" si="85"/>
        <v xml:space="preserve"> </v>
      </c>
      <c r="Q705">
        <f t="shared" si="86"/>
        <v>0</v>
      </c>
      <c r="R705">
        <f t="shared" si="87"/>
        <v>0</v>
      </c>
    </row>
    <row r="706" spans="2:18" x14ac:dyDescent="0.2">
      <c r="B706" s="1209"/>
      <c r="C706" s="1210"/>
      <c r="D706" s="939"/>
      <c r="E706" s="1211" t="str">
        <f t="shared" si="82"/>
        <v xml:space="preserve"> </v>
      </c>
      <c r="G706" s="1212" t="str">
        <f t="shared" si="83"/>
        <v xml:space="preserve"> </v>
      </c>
      <c r="H706" s="1201"/>
      <c r="I706">
        <f t="shared" si="80"/>
        <v>0</v>
      </c>
      <c r="K706">
        <f t="shared" si="81"/>
        <v>0</v>
      </c>
      <c r="L706" s="1213"/>
      <c r="N706" s="1214" t="str">
        <f t="shared" si="84"/>
        <v xml:space="preserve"> </v>
      </c>
      <c r="O706" s="1215" t="str">
        <f t="shared" si="85"/>
        <v xml:space="preserve"> </v>
      </c>
      <c r="Q706">
        <f t="shared" si="86"/>
        <v>0</v>
      </c>
      <c r="R706">
        <f t="shared" si="87"/>
        <v>0</v>
      </c>
    </row>
    <row r="707" spans="2:18" x14ac:dyDescent="0.2">
      <c r="B707" s="1209"/>
      <c r="C707" s="1210"/>
      <c r="D707" s="939"/>
      <c r="E707" s="1211" t="str">
        <f t="shared" si="82"/>
        <v xml:space="preserve"> </v>
      </c>
      <c r="G707" s="1212" t="str">
        <f t="shared" si="83"/>
        <v xml:space="preserve"> </v>
      </c>
      <c r="H707" s="1201"/>
      <c r="I707">
        <f t="shared" si="80"/>
        <v>0</v>
      </c>
      <c r="K707">
        <f t="shared" si="81"/>
        <v>0</v>
      </c>
      <c r="L707" s="1213"/>
      <c r="N707" s="1214" t="str">
        <f t="shared" si="84"/>
        <v xml:space="preserve"> </v>
      </c>
      <c r="O707" s="1215" t="str">
        <f t="shared" si="85"/>
        <v xml:space="preserve"> </v>
      </c>
      <c r="Q707">
        <f t="shared" si="86"/>
        <v>0</v>
      </c>
      <c r="R707">
        <f t="shared" si="87"/>
        <v>0</v>
      </c>
    </row>
    <row r="708" spans="2:18" x14ac:dyDescent="0.2">
      <c r="B708" s="1209"/>
      <c r="C708" s="1210"/>
      <c r="D708" s="939"/>
      <c r="E708" s="1211" t="str">
        <f t="shared" si="82"/>
        <v xml:space="preserve"> </v>
      </c>
      <c r="G708" s="1212" t="str">
        <f t="shared" si="83"/>
        <v xml:space="preserve"> </v>
      </c>
      <c r="H708" s="1201"/>
      <c r="I708">
        <f t="shared" si="80"/>
        <v>0</v>
      </c>
      <c r="K708">
        <f t="shared" si="81"/>
        <v>0</v>
      </c>
      <c r="L708" s="1213"/>
      <c r="N708" s="1214" t="str">
        <f t="shared" si="84"/>
        <v xml:space="preserve"> </v>
      </c>
      <c r="O708" s="1215" t="str">
        <f t="shared" si="85"/>
        <v xml:space="preserve"> </v>
      </c>
      <c r="Q708">
        <f t="shared" si="86"/>
        <v>0</v>
      </c>
      <c r="R708">
        <f t="shared" si="87"/>
        <v>0</v>
      </c>
    </row>
    <row r="709" spans="2:18" x14ac:dyDescent="0.2">
      <c r="B709" s="1209"/>
      <c r="C709" s="1210"/>
      <c r="D709" s="939"/>
      <c r="E709" s="1211" t="str">
        <f t="shared" si="82"/>
        <v xml:space="preserve"> </v>
      </c>
      <c r="G709" s="1212" t="str">
        <f t="shared" si="83"/>
        <v xml:space="preserve"> </v>
      </c>
      <c r="H709" s="1201"/>
      <c r="I709">
        <f t="shared" si="80"/>
        <v>0</v>
      </c>
      <c r="K709">
        <f t="shared" si="81"/>
        <v>0</v>
      </c>
      <c r="L709" s="1213"/>
      <c r="N709" s="1214" t="str">
        <f t="shared" si="84"/>
        <v xml:space="preserve"> </v>
      </c>
      <c r="O709" s="1215" t="str">
        <f t="shared" si="85"/>
        <v xml:space="preserve"> </v>
      </c>
      <c r="Q709">
        <f t="shared" si="86"/>
        <v>0</v>
      </c>
      <c r="R709">
        <f t="shared" si="87"/>
        <v>0</v>
      </c>
    </row>
    <row r="710" spans="2:18" x14ac:dyDescent="0.2">
      <c r="B710" s="1209"/>
      <c r="C710" s="1210"/>
      <c r="D710" s="939"/>
      <c r="E710" s="1211" t="str">
        <f t="shared" si="82"/>
        <v xml:space="preserve"> </v>
      </c>
      <c r="G710" s="1212" t="str">
        <f t="shared" si="83"/>
        <v xml:space="preserve"> </v>
      </c>
      <c r="H710" s="1201"/>
      <c r="I710">
        <f t="shared" si="80"/>
        <v>0</v>
      </c>
      <c r="K710">
        <f t="shared" si="81"/>
        <v>0</v>
      </c>
      <c r="L710" s="1213"/>
      <c r="N710" s="1214" t="str">
        <f t="shared" si="84"/>
        <v xml:space="preserve"> </v>
      </c>
      <c r="O710" s="1215" t="str">
        <f t="shared" si="85"/>
        <v xml:space="preserve"> </v>
      </c>
      <c r="Q710">
        <f t="shared" si="86"/>
        <v>0</v>
      </c>
      <c r="R710">
        <f t="shared" si="87"/>
        <v>0</v>
      </c>
    </row>
    <row r="711" spans="2:18" x14ac:dyDescent="0.2">
      <c r="B711" s="1209"/>
      <c r="C711" s="1210"/>
      <c r="D711" s="939"/>
      <c r="E711" s="1211" t="str">
        <f t="shared" si="82"/>
        <v xml:space="preserve"> </v>
      </c>
      <c r="G711" s="1212" t="str">
        <f t="shared" si="83"/>
        <v xml:space="preserve"> </v>
      </c>
      <c r="H711" s="1201"/>
      <c r="I711">
        <f t="shared" si="80"/>
        <v>0</v>
      </c>
      <c r="K711">
        <f t="shared" si="81"/>
        <v>0</v>
      </c>
      <c r="L711" s="1213"/>
      <c r="N711" s="1214" t="str">
        <f t="shared" si="84"/>
        <v xml:space="preserve"> </v>
      </c>
      <c r="O711" s="1215" t="str">
        <f t="shared" si="85"/>
        <v xml:space="preserve"> </v>
      </c>
      <c r="Q711">
        <f t="shared" si="86"/>
        <v>0</v>
      </c>
      <c r="R711">
        <f t="shared" si="87"/>
        <v>0</v>
      </c>
    </row>
    <row r="712" spans="2:18" x14ac:dyDescent="0.2">
      <c r="B712" s="1209"/>
      <c r="C712" s="1210"/>
      <c r="D712" s="939"/>
      <c r="E712" s="1211" t="str">
        <f t="shared" si="82"/>
        <v xml:space="preserve"> </v>
      </c>
      <c r="G712" s="1212" t="str">
        <f t="shared" si="83"/>
        <v xml:space="preserve"> </v>
      </c>
      <c r="H712" s="1201"/>
      <c r="I712">
        <f t="shared" ref="I712:I775" si="88">(J712+C712)/12</f>
        <v>0</v>
      </c>
      <c r="K712">
        <f t="shared" ref="K712:K775" si="89">I712+B712</f>
        <v>0</v>
      </c>
      <c r="L712" s="1213"/>
      <c r="N712" s="1214" t="str">
        <f t="shared" si="84"/>
        <v xml:space="preserve"> </v>
      </c>
      <c r="O712" s="1215" t="str">
        <f t="shared" si="85"/>
        <v xml:space="preserve"> </v>
      </c>
      <c r="Q712">
        <f t="shared" si="86"/>
        <v>0</v>
      </c>
      <c r="R712">
        <f t="shared" si="87"/>
        <v>0</v>
      </c>
    </row>
    <row r="713" spans="2:18" x14ac:dyDescent="0.2">
      <c r="B713" s="1209"/>
      <c r="C713" s="1210"/>
      <c r="D713" s="939"/>
      <c r="E713" s="1211" t="str">
        <f t="shared" si="82"/>
        <v xml:space="preserve"> </v>
      </c>
      <c r="G713" s="1212" t="str">
        <f t="shared" si="83"/>
        <v xml:space="preserve"> </v>
      </c>
      <c r="H713" s="1201"/>
      <c r="I713">
        <f t="shared" si="88"/>
        <v>0</v>
      </c>
      <c r="K713">
        <f t="shared" si="89"/>
        <v>0</v>
      </c>
      <c r="L713" s="1213"/>
      <c r="N713" s="1214" t="str">
        <f t="shared" si="84"/>
        <v xml:space="preserve"> </v>
      </c>
      <c r="O713" s="1215" t="str">
        <f t="shared" si="85"/>
        <v xml:space="preserve"> </v>
      </c>
      <c r="Q713">
        <f t="shared" si="86"/>
        <v>0</v>
      </c>
      <c r="R713">
        <f t="shared" si="87"/>
        <v>0</v>
      </c>
    </row>
    <row r="714" spans="2:18" x14ac:dyDescent="0.2">
      <c r="B714" s="1209"/>
      <c r="C714" s="1210"/>
      <c r="D714" s="939"/>
      <c r="E714" s="1211" t="str">
        <f t="shared" ref="E714:E777" si="90">IF(K714=0," ",IF(K714&gt;0,K714*12*25.4))</f>
        <v xml:space="preserve"> </v>
      </c>
      <c r="G714" s="1212" t="str">
        <f t="shared" ref="G714:G777" si="91">IF(K714=0," ",IF(K714&gt;0,E714/1000))</f>
        <v xml:space="preserve"> </v>
      </c>
      <c r="H714" s="1201"/>
      <c r="I714">
        <f t="shared" si="88"/>
        <v>0</v>
      </c>
      <c r="K714">
        <f t="shared" si="89"/>
        <v>0</v>
      </c>
      <c r="L714" s="1213"/>
      <c r="N714" s="1214" t="str">
        <f t="shared" ref="N714:N777" si="92">IF(R714=0," ",IF(R714&gt;0,TRUNC(R714)))</f>
        <v xml:space="preserve"> </v>
      </c>
      <c r="O714" s="1215" t="str">
        <f t="shared" ref="O714:O777" si="93">IF(R714=0," ",IF(R714&gt;0,(R714-N714)*12))</f>
        <v xml:space="preserve"> </v>
      </c>
      <c r="Q714">
        <f t="shared" ref="Q714:Q777" si="94">L714/25.4</f>
        <v>0</v>
      </c>
      <c r="R714">
        <f t="shared" ref="R714:R777" si="95">Q714/12</f>
        <v>0</v>
      </c>
    </row>
    <row r="715" spans="2:18" x14ac:dyDescent="0.2">
      <c r="B715" s="1209"/>
      <c r="C715" s="1210"/>
      <c r="D715" s="939"/>
      <c r="E715" s="1211" t="str">
        <f t="shared" si="90"/>
        <v xml:space="preserve"> </v>
      </c>
      <c r="G715" s="1212" t="str">
        <f t="shared" si="91"/>
        <v xml:space="preserve"> </v>
      </c>
      <c r="H715" s="1201"/>
      <c r="I715">
        <f t="shared" si="88"/>
        <v>0</v>
      </c>
      <c r="K715">
        <f t="shared" si="89"/>
        <v>0</v>
      </c>
      <c r="L715" s="1213"/>
      <c r="N715" s="1214" t="str">
        <f t="shared" si="92"/>
        <v xml:space="preserve"> </v>
      </c>
      <c r="O715" s="1215" t="str">
        <f t="shared" si="93"/>
        <v xml:space="preserve"> </v>
      </c>
      <c r="Q715">
        <f t="shared" si="94"/>
        <v>0</v>
      </c>
      <c r="R715">
        <f t="shared" si="95"/>
        <v>0</v>
      </c>
    </row>
    <row r="716" spans="2:18" x14ac:dyDescent="0.2">
      <c r="B716" s="1209"/>
      <c r="C716" s="1210"/>
      <c r="D716" s="939"/>
      <c r="E716" s="1211" t="str">
        <f t="shared" si="90"/>
        <v xml:space="preserve"> </v>
      </c>
      <c r="G716" s="1212" t="str">
        <f t="shared" si="91"/>
        <v xml:space="preserve"> </v>
      </c>
      <c r="H716" s="1201"/>
      <c r="I716">
        <f t="shared" si="88"/>
        <v>0</v>
      </c>
      <c r="K716">
        <f t="shared" si="89"/>
        <v>0</v>
      </c>
      <c r="L716" s="1213"/>
      <c r="N716" s="1214" t="str">
        <f t="shared" si="92"/>
        <v xml:space="preserve"> </v>
      </c>
      <c r="O716" s="1215" t="str">
        <f t="shared" si="93"/>
        <v xml:space="preserve"> </v>
      </c>
      <c r="Q716">
        <f t="shared" si="94"/>
        <v>0</v>
      </c>
      <c r="R716">
        <f t="shared" si="95"/>
        <v>0</v>
      </c>
    </row>
    <row r="717" spans="2:18" x14ac:dyDescent="0.2">
      <c r="B717" s="1209"/>
      <c r="C717" s="1210"/>
      <c r="D717" s="939"/>
      <c r="E717" s="1211" t="str">
        <f t="shared" si="90"/>
        <v xml:space="preserve"> </v>
      </c>
      <c r="G717" s="1212" t="str">
        <f t="shared" si="91"/>
        <v xml:space="preserve"> </v>
      </c>
      <c r="H717" s="1201"/>
      <c r="I717">
        <f t="shared" si="88"/>
        <v>0</v>
      </c>
      <c r="K717">
        <f t="shared" si="89"/>
        <v>0</v>
      </c>
      <c r="L717" s="1213"/>
      <c r="N717" s="1214" t="str">
        <f t="shared" si="92"/>
        <v xml:space="preserve"> </v>
      </c>
      <c r="O717" s="1215" t="str">
        <f t="shared" si="93"/>
        <v xml:space="preserve"> </v>
      </c>
      <c r="Q717">
        <f t="shared" si="94"/>
        <v>0</v>
      </c>
      <c r="R717">
        <f t="shared" si="95"/>
        <v>0</v>
      </c>
    </row>
    <row r="718" spans="2:18" x14ac:dyDescent="0.2">
      <c r="B718" s="1209"/>
      <c r="C718" s="1210"/>
      <c r="D718" s="939"/>
      <c r="E718" s="1211" t="str">
        <f t="shared" si="90"/>
        <v xml:space="preserve"> </v>
      </c>
      <c r="G718" s="1212" t="str">
        <f t="shared" si="91"/>
        <v xml:space="preserve"> </v>
      </c>
      <c r="H718" s="1201"/>
      <c r="I718">
        <f t="shared" si="88"/>
        <v>0</v>
      </c>
      <c r="K718">
        <f t="shared" si="89"/>
        <v>0</v>
      </c>
      <c r="L718" s="1213"/>
      <c r="N718" s="1214" t="str">
        <f t="shared" si="92"/>
        <v xml:space="preserve"> </v>
      </c>
      <c r="O718" s="1215" t="str">
        <f t="shared" si="93"/>
        <v xml:space="preserve"> </v>
      </c>
      <c r="Q718">
        <f t="shared" si="94"/>
        <v>0</v>
      </c>
      <c r="R718">
        <f t="shared" si="95"/>
        <v>0</v>
      </c>
    </row>
    <row r="719" spans="2:18" x14ac:dyDescent="0.2">
      <c r="B719" s="1209"/>
      <c r="C719" s="1210"/>
      <c r="D719" s="939"/>
      <c r="E719" s="1211" t="str">
        <f t="shared" si="90"/>
        <v xml:space="preserve"> </v>
      </c>
      <c r="G719" s="1212" t="str">
        <f t="shared" si="91"/>
        <v xml:space="preserve"> </v>
      </c>
      <c r="H719" s="1201"/>
      <c r="I719">
        <f t="shared" si="88"/>
        <v>0</v>
      </c>
      <c r="K719">
        <f t="shared" si="89"/>
        <v>0</v>
      </c>
      <c r="L719" s="1213"/>
      <c r="N719" s="1214" t="str">
        <f t="shared" si="92"/>
        <v xml:space="preserve"> </v>
      </c>
      <c r="O719" s="1215" t="str">
        <f t="shared" si="93"/>
        <v xml:space="preserve"> </v>
      </c>
      <c r="Q719">
        <f t="shared" si="94"/>
        <v>0</v>
      </c>
      <c r="R719">
        <f t="shared" si="95"/>
        <v>0</v>
      </c>
    </row>
    <row r="720" spans="2:18" x14ac:dyDescent="0.2">
      <c r="B720" s="1209"/>
      <c r="C720" s="1210"/>
      <c r="D720" s="939"/>
      <c r="E720" s="1211" t="str">
        <f t="shared" si="90"/>
        <v xml:space="preserve"> </v>
      </c>
      <c r="G720" s="1212" t="str">
        <f t="shared" si="91"/>
        <v xml:space="preserve"> </v>
      </c>
      <c r="H720" s="1201"/>
      <c r="I720">
        <f t="shared" si="88"/>
        <v>0</v>
      </c>
      <c r="K720">
        <f t="shared" si="89"/>
        <v>0</v>
      </c>
      <c r="L720" s="1213"/>
      <c r="N720" s="1214" t="str">
        <f t="shared" si="92"/>
        <v xml:space="preserve"> </v>
      </c>
      <c r="O720" s="1215" t="str">
        <f t="shared" si="93"/>
        <v xml:space="preserve"> </v>
      </c>
      <c r="Q720">
        <f t="shared" si="94"/>
        <v>0</v>
      </c>
      <c r="R720">
        <f t="shared" si="95"/>
        <v>0</v>
      </c>
    </row>
    <row r="721" spans="2:18" x14ac:dyDescent="0.2">
      <c r="B721" s="1209"/>
      <c r="C721" s="1210"/>
      <c r="D721" s="939"/>
      <c r="E721" s="1211" t="str">
        <f t="shared" si="90"/>
        <v xml:space="preserve"> </v>
      </c>
      <c r="G721" s="1212" t="str">
        <f t="shared" si="91"/>
        <v xml:space="preserve"> </v>
      </c>
      <c r="H721" s="1201"/>
      <c r="I721">
        <f t="shared" si="88"/>
        <v>0</v>
      </c>
      <c r="K721">
        <f t="shared" si="89"/>
        <v>0</v>
      </c>
      <c r="L721" s="1213"/>
      <c r="N721" s="1214" t="str">
        <f t="shared" si="92"/>
        <v xml:space="preserve"> </v>
      </c>
      <c r="O721" s="1215" t="str">
        <f t="shared" si="93"/>
        <v xml:space="preserve"> </v>
      </c>
      <c r="Q721">
        <f t="shared" si="94"/>
        <v>0</v>
      </c>
      <c r="R721">
        <f t="shared" si="95"/>
        <v>0</v>
      </c>
    </row>
    <row r="722" spans="2:18" x14ac:dyDescent="0.2">
      <c r="B722" s="1209"/>
      <c r="C722" s="1210"/>
      <c r="D722" s="939"/>
      <c r="E722" s="1211" t="str">
        <f t="shared" si="90"/>
        <v xml:space="preserve"> </v>
      </c>
      <c r="G722" s="1212" t="str">
        <f t="shared" si="91"/>
        <v xml:space="preserve"> </v>
      </c>
      <c r="H722" s="1201"/>
      <c r="I722">
        <f t="shared" si="88"/>
        <v>0</v>
      </c>
      <c r="K722">
        <f t="shared" si="89"/>
        <v>0</v>
      </c>
      <c r="L722" s="1213"/>
      <c r="N722" s="1214" t="str">
        <f t="shared" si="92"/>
        <v xml:space="preserve"> </v>
      </c>
      <c r="O722" s="1215" t="str">
        <f t="shared" si="93"/>
        <v xml:space="preserve"> </v>
      </c>
      <c r="Q722">
        <f t="shared" si="94"/>
        <v>0</v>
      </c>
      <c r="R722">
        <f t="shared" si="95"/>
        <v>0</v>
      </c>
    </row>
    <row r="723" spans="2:18" x14ac:dyDescent="0.2">
      <c r="B723" s="1209"/>
      <c r="C723" s="1210"/>
      <c r="D723" s="939"/>
      <c r="E723" s="1211" t="str">
        <f t="shared" si="90"/>
        <v xml:space="preserve"> </v>
      </c>
      <c r="G723" s="1212" t="str">
        <f t="shared" si="91"/>
        <v xml:space="preserve"> </v>
      </c>
      <c r="H723" s="1201"/>
      <c r="I723">
        <f t="shared" si="88"/>
        <v>0</v>
      </c>
      <c r="K723">
        <f t="shared" si="89"/>
        <v>0</v>
      </c>
      <c r="L723" s="1213"/>
      <c r="N723" s="1214" t="str">
        <f t="shared" si="92"/>
        <v xml:space="preserve"> </v>
      </c>
      <c r="O723" s="1215" t="str">
        <f t="shared" si="93"/>
        <v xml:space="preserve"> </v>
      </c>
      <c r="Q723">
        <f t="shared" si="94"/>
        <v>0</v>
      </c>
      <c r="R723">
        <f t="shared" si="95"/>
        <v>0</v>
      </c>
    </row>
    <row r="724" spans="2:18" x14ac:dyDescent="0.2">
      <c r="B724" s="1209"/>
      <c r="C724" s="1210"/>
      <c r="D724" s="939"/>
      <c r="E724" s="1211" t="str">
        <f t="shared" si="90"/>
        <v xml:space="preserve"> </v>
      </c>
      <c r="G724" s="1212" t="str">
        <f t="shared" si="91"/>
        <v xml:space="preserve"> </v>
      </c>
      <c r="H724" s="1201"/>
      <c r="I724">
        <f t="shared" si="88"/>
        <v>0</v>
      </c>
      <c r="K724">
        <f t="shared" si="89"/>
        <v>0</v>
      </c>
      <c r="L724" s="1213"/>
      <c r="N724" s="1214" t="str">
        <f t="shared" si="92"/>
        <v xml:space="preserve"> </v>
      </c>
      <c r="O724" s="1215" t="str">
        <f t="shared" si="93"/>
        <v xml:space="preserve"> </v>
      </c>
      <c r="Q724">
        <f t="shared" si="94"/>
        <v>0</v>
      </c>
      <c r="R724">
        <f t="shared" si="95"/>
        <v>0</v>
      </c>
    </row>
    <row r="725" spans="2:18" x14ac:dyDescent="0.2">
      <c r="B725" s="1209"/>
      <c r="C725" s="1210"/>
      <c r="D725" s="939"/>
      <c r="E725" s="1211" t="str">
        <f t="shared" si="90"/>
        <v xml:space="preserve"> </v>
      </c>
      <c r="G725" s="1212" t="str">
        <f t="shared" si="91"/>
        <v xml:space="preserve"> </v>
      </c>
      <c r="H725" s="1201"/>
      <c r="I725">
        <f t="shared" si="88"/>
        <v>0</v>
      </c>
      <c r="K725">
        <f t="shared" si="89"/>
        <v>0</v>
      </c>
      <c r="L725" s="1213"/>
      <c r="N725" s="1214" t="str">
        <f t="shared" si="92"/>
        <v xml:space="preserve"> </v>
      </c>
      <c r="O725" s="1215" t="str">
        <f t="shared" si="93"/>
        <v xml:space="preserve"> </v>
      </c>
      <c r="Q725">
        <f t="shared" si="94"/>
        <v>0</v>
      </c>
      <c r="R725">
        <f t="shared" si="95"/>
        <v>0</v>
      </c>
    </row>
    <row r="726" spans="2:18" x14ac:dyDescent="0.2">
      <c r="B726" s="1209"/>
      <c r="C726" s="1210"/>
      <c r="D726" s="939"/>
      <c r="E726" s="1211" t="str">
        <f t="shared" si="90"/>
        <v xml:space="preserve"> </v>
      </c>
      <c r="G726" s="1212" t="str">
        <f t="shared" si="91"/>
        <v xml:space="preserve"> </v>
      </c>
      <c r="H726" s="1201"/>
      <c r="I726">
        <f t="shared" si="88"/>
        <v>0</v>
      </c>
      <c r="K726">
        <f t="shared" si="89"/>
        <v>0</v>
      </c>
      <c r="L726" s="1213"/>
      <c r="N726" s="1214" t="str">
        <f t="shared" si="92"/>
        <v xml:space="preserve"> </v>
      </c>
      <c r="O726" s="1215" t="str">
        <f t="shared" si="93"/>
        <v xml:space="preserve"> </v>
      </c>
      <c r="Q726">
        <f t="shared" si="94"/>
        <v>0</v>
      </c>
      <c r="R726">
        <f t="shared" si="95"/>
        <v>0</v>
      </c>
    </row>
    <row r="727" spans="2:18" x14ac:dyDescent="0.2">
      <c r="B727" s="1209"/>
      <c r="C727" s="1210"/>
      <c r="D727" s="939"/>
      <c r="E727" s="1211" t="str">
        <f t="shared" si="90"/>
        <v xml:space="preserve"> </v>
      </c>
      <c r="G727" s="1212" t="str">
        <f t="shared" si="91"/>
        <v xml:space="preserve"> </v>
      </c>
      <c r="H727" s="1201"/>
      <c r="I727">
        <f t="shared" si="88"/>
        <v>0</v>
      </c>
      <c r="K727">
        <f t="shared" si="89"/>
        <v>0</v>
      </c>
      <c r="L727" s="1213"/>
      <c r="N727" s="1214" t="str">
        <f t="shared" si="92"/>
        <v xml:space="preserve"> </v>
      </c>
      <c r="O727" s="1215" t="str">
        <f t="shared" si="93"/>
        <v xml:space="preserve"> </v>
      </c>
      <c r="Q727">
        <f t="shared" si="94"/>
        <v>0</v>
      </c>
      <c r="R727">
        <f t="shared" si="95"/>
        <v>0</v>
      </c>
    </row>
    <row r="728" spans="2:18" x14ac:dyDescent="0.2">
      <c r="B728" s="1209"/>
      <c r="C728" s="1210"/>
      <c r="D728" s="939"/>
      <c r="E728" s="1211" t="str">
        <f t="shared" si="90"/>
        <v xml:space="preserve"> </v>
      </c>
      <c r="G728" s="1212" t="str">
        <f t="shared" si="91"/>
        <v xml:space="preserve"> </v>
      </c>
      <c r="H728" s="1201"/>
      <c r="I728">
        <f t="shared" si="88"/>
        <v>0</v>
      </c>
      <c r="K728">
        <f t="shared" si="89"/>
        <v>0</v>
      </c>
      <c r="L728" s="1213"/>
      <c r="N728" s="1214" t="str">
        <f t="shared" si="92"/>
        <v xml:space="preserve"> </v>
      </c>
      <c r="O728" s="1215" t="str">
        <f t="shared" si="93"/>
        <v xml:space="preserve"> </v>
      </c>
      <c r="Q728">
        <f t="shared" si="94"/>
        <v>0</v>
      </c>
      <c r="R728">
        <f t="shared" si="95"/>
        <v>0</v>
      </c>
    </row>
    <row r="729" spans="2:18" x14ac:dyDescent="0.2">
      <c r="B729" s="1209"/>
      <c r="C729" s="1210"/>
      <c r="D729" s="939"/>
      <c r="E729" s="1211" t="str">
        <f t="shared" si="90"/>
        <v xml:space="preserve"> </v>
      </c>
      <c r="G729" s="1212" t="str">
        <f t="shared" si="91"/>
        <v xml:space="preserve"> </v>
      </c>
      <c r="H729" s="1201"/>
      <c r="I729">
        <f t="shared" si="88"/>
        <v>0</v>
      </c>
      <c r="K729">
        <f t="shared" si="89"/>
        <v>0</v>
      </c>
      <c r="L729" s="1213"/>
      <c r="N729" s="1214" t="str">
        <f t="shared" si="92"/>
        <v xml:space="preserve"> </v>
      </c>
      <c r="O729" s="1215" t="str">
        <f t="shared" si="93"/>
        <v xml:space="preserve"> </v>
      </c>
      <c r="Q729">
        <f t="shared" si="94"/>
        <v>0</v>
      </c>
      <c r="R729">
        <f t="shared" si="95"/>
        <v>0</v>
      </c>
    </row>
    <row r="730" spans="2:18" x14ac:dyDescent="0.2">
      <c r="B730" s="1209"/>
      <c r="C730" s="1210"/>
      <c r="D730" s="939"/>
      <c r="E730" s="1211" t="str">
        <f t="shared" si="90"/>
        <v xml:space="preserve"> </v>
      </c>
      <c r="G730" s="1212" t="str">
        <f t="shared" si="91"/>
        <v xml:space="preserve"> </v>
      </c>
      <c r="H730" s="1201"/>
      <c r="I730">
        <f t="shared" si="88"/>
        <v>0</v>
      </c>
      <c r="K730">
        <f t="shared" si="89"/>
        <v>0</v>
      </c>
      <c r="L730" s="1213"/>
      <c r="N730" s="1214" t="str">
        <f t="shared" si="92"/>
        <v xml:space="preserve"> </v>
      </c>
      <c r="O730" s="1215" t="str">
        <f t="shared" si="93"/>
        <v xml:space="preserve"> </v>
      </c>
      <c r="Q730">
        <f t="shared" si="94"/>
        <v>0</v>
      </c>
      <c r="R730">
        <f t="shared" si="95"/>
        <v>0</v>
      </c>
    </row>
    <row r="731" spans="2:18" x14ac:dyDescent="0.2">
      <c r="B731" s="1209"/>
      <c r="C731" s="1210"/>
      <c r="D731" s="939"/>
      <c r="E731" s="1211" t="str">
        <f t="shared" si="90"/>
        <v xml:space="preserve"> </v>
      </c>
      <c r="G731" s="1212" t="str">
        <f t="shared" si="91"/>
        <v xml:space="preserve"> </v>
      </c>
      <c r="H731" s="1201"/>
      <c r="I731">
        <f t="shared" si="88"/>
        <v>0</v>
      </c>
      <c r="K731">
        <f t="shared" si="89"/>
        <v>0</v>
      </c>
      <c r="L731" s="1213"/>
      <c r="N731" s="1214" t="str">
        <f t="shared" si="92"/>
        <v xml:space="preserve"> </v>
      </c>
      <c r="O731" s="1215" t="str">
        <f t="shared" si="93"/>
        <v xml:space="preserve"> </v>
      </c>
      <c r="Q731">
        <f t="shared" si="94"/>
        <v>0</v>
      </c>
      <c r="R731">
        <f t="shared" si="95"/>
        <v>0</v>
      </c>
    </row>
    <row r="732" spans="2:18" x14ac:dyDescent="0.2">
      <c r="B732" s="1209"/>
      <c r="C732" s="1210"/>
      <c r="D732" s="939"/>
      <c r="E732" s="1211" t="str">
        <f t="shared" si="90"/>
        <v xml:space="preserve"> </v>
      </c>
      <c r="G732" s="1212" t="str">
        <f t="shared" si="91"/>
        <v xml:space="preserve"> </v>
      </c>
      <c r="H732" s="1201"/>
      <c r="I732">
        <f t="shared" si="88"/>
        <v>0</v>
      </c>
      <c r="K732">
        <f t="shared" si="89"/>
        <v>0</v>
      </c>
      <c r="L732" s="1213"/>
      <c r="N732" s="1214" t="str">
        <f t="shared" si="92"/>
        <v xml:space="preserve"> </v>
      </c>
      <c r="O732" s="1215" t="str">
        <f t="shared" si="93"/>
        <v xml:space="preserve"> </v>
      </c>
      <c r="Q732">
        <f t="shared" si="94"/>
        <v>0</v>
      </c>
      <c r="R732">
        <f t="shared" si="95"/>
        <v>0</v>
      </c>
    </row>
    <row r="733" spans="2:18" x14ac:dyDescent="0.2">
      <c r="B733" s="1209"/>
      <c r="C733" s="1210"/>
      <c r="D733" s="939"/>
      <c r="E733" s="1211" t="str">
        <f t="shared" si="90"/>
        <v xml:space="preserve"> </v>
      </c>
      <c r="G733" s="1212" t="str">
        <f t="shared" si="91"/>
        <v xml:space="preserve"> </v>
      </c>
      <c r="H733" s="1201"/>
      <c r="I733">
        <f t="shared" si="88"/>
        <v>0</v>
      </c>
      <c r="K733">
        <f t="shared" si="89"/>
        <v>0</v>
      </c>
      <c r="L733" s="1213"/>
      <c r="N733" s="1214" t="str">
        <f t="shared" si="92"/>
        <v xml:space="preserve"> </v>
      </c>
      <c r="O733" s="1215" t="str">
        <f t="shared" si="93"/>
        <v xml:space="preserve"> </v>
      </c>
      <c r="Q733">
        <f t="shared" si="94"/>
        <v>0</v>
      </c>
      <c r="R733">
        <f t="shared" si="95"/>
        <v>0</v>
      </c>
    </row>
    <row r="734" spans="2:18" x14ac:dyDescent="0.2">
      <c r="B734" s="1209"/>
      <c r="C734" s="1210"/>
      <c r="D734" s="939"/>
      <c r="E734" s="1211" t="str">
        <f t="shared" si="90"/>
        <v xml:space="preserve"> </v>
      </c>
      <c r="G734" s="1212" t="str">
        <f t="shared" si="91"/>
        <v xml:space="preserve"> </v>
      </c>
      <c r="H734" s="1201"/>
      <c r="I734">
        <f t="shared" si="88"/>
        <v>0</v>
      </c>
      <c r="K734">
        <f t="shared" si="89"/>
        <v>0</v>
      </c>
      <c r="L734" s="1213"/>
      <c r="N734" s="1214" t="str">
        <f t="shared" si="92"/>
        <v xml:space="preserve"> </v>
      </c>
      <c r="O734" s="1215" t="str">
        <f t="shared" si="93"/>
        <v xml:space="preserve"> </v>
      </c>
      <c r="Q734">
        <f t="shared" si="94"/>
        <v>0</v>
      </c>
      <c r="R734">
        <f t="shared" si="95"/>
        <v>0</v>
      </c>
    </row>
    <row r="735" spans="2:18" x14ac:dyDescent="0.2">
      <c r="B735" s="1209"/>
      <c r="C735" s="1210"/>
      <c r="D735" s="939"/>
      <c r="E735" s="1211" t="str">
        <f t="shared" si="90"/>
        <v xml:space="preserve"> </v>
      </c>
      <c r="G735" s="1212" t="str">
        <f t="shared" si="91"/>
        <v xml:space="preserve"> </v>
      </c>
      <c r="H735" s="1201"/>
      <c r="I735">
        <f t="shared" si="88"/>
        <v>0</v>
      </c>
      <c r="K735">
        <f t="shared" si="89"/>
        <v>0</v>
      </c>
      <c r="L735" s="1213"/>
      <c r="N735" s="1214" t="str">
        <f t="shared" si="92"/>
        <v xml:space="preserve"> </v>
      </c>
      <c r="O735" s="1215" t="str">
        <f t="shared" si="93"/>
        <v xml:space="preserve"> </v>
      </c>
      <c r="Q735">
        <f t="shared" si="94"/>
        <v>0</v>
      </c>
      <c r="R735">
        <f t="shared" si="95"/>
        <v>0</v>
      </c>
    </row>
    <row r="736" spans="2:18" x14ac:dyDescent="0.2">
      <c r="B736" s="1209"/>
      <c r="C736" s="1210"/>
      <c r="D736" s="939"/>
      <c r="E736" s="1211" t="str">
        <f t="shared" si="90"/>
        <v xml:space="preserve"> </v>
      </c>
      <c r="G736" s="1212" t="str">
        <f t="shared" si="91"/>
        <v xml:space="preserve"> </v>
      </c>
      <c r="H736" s="1201"/>
      <c r="I736">
        <f t="shared" si="88"/>
        <v>0</v>
      </c>
      <c r="K736">
        <f t="shared" si="89"/>
        <v>0</v>
      </c>
      <c r="L736" s="1213"/>
      <c r="N736" s="1214" t="str">
        <f t="shared" si="92"/>
        <v xml:space="preserve"> </v>
      </c>
      <c r="O736" s="1215" t="str">
        <f t="shared" si="93"/>
        <v xml:space="preserve"> </v>
      </c>
      <c r="Q736">
        <f t="shared" si="94"/>
        <v>0</v>
      </c>
      <c r="R736">
        <f t="shared" si="95"/>
        <v>0</v>
      </c>
    </row>
    <row r="737" spans="2:18" x14ac:dyDescent="0.2">
      <c r="B737" s="1209"/>
      <c r="C737" s="1210"/>
      <c r="D737" s="939"/>
      <c r="E737" s="1211" t="str">
        <f t="shared" si="90"/>
        <v xml:space="preserve"> </v>
      </c>
      <c r="G737" s="1212" t="str">
        <f t="shared" si="91"/>
        <v xml:space="preserve"> </v>
      </c>
      <c r="H737" s="1201"/>
      <c r="I737">
        <f t="shared" si="88"/>
        <v>0</v>
      </c>
      <c r="K737">
        <f t="shared" si="89"/>
        <v>0</v>
      </c>
      <c r="L737" s="1213"/>
      <c r="N737" s="1214" t="str">
        <f t="shared" si="92"/>
        <v xml:space="preserve"> </v>
      </c>
      <c r="O737" s="1215" t="str">
        <f t="shared" si="93"/>
        <v xml:space="preserve"> </v>
      </c>
      <c r="Q737">
        <f t="shared" si="94"/>
        <v>0</v>
      </c>
      <c r="R737">
        <f t="shared" si="95"/>
        <v>0</v>
      </c>
    </row>
    <row r="738" spans="2:18" x14ac:dyDescent="0.2">
      <c r="B738" s="1209"/>
      <c r="C738" s="1210"/>
      <c r="D738" s="939"/>
      <c r="E738" s="1211" t="str">
        <f t="shared" si="90"/>
        <v xml:space="preserve"> </v>
      </c>
      <c r="G738" s="1212" t="str">
        <f t="shared" si="91"/>
        <v xml:space="preserve"> </v>
      </c>
      <c r="H738" s="1201"/>
      <c r="I738">
        <f t="shared" si="88"/>
        <v>0</v>
      </c>
      <c r="K738">
        <f t="shared" si="89"/>
        <v>0</v>
      </c>
      <c r="L738" s="1213"/>
      <c r="N738" s="1214" t="str">
        <f t="shared" si="92"/>
        <v xml:space="preserve"> </v>
      </c>
      <c r="O738" s="1215" t="str">
        <f t="shared" si="93"/>
        <v xml:space="preserve"> </v>
      </c>
      <c r="Q738">
        <f t="shared" si="94"/>
        <v>0</v>
      </c>
      <c r="R738">
        <f t="shared" si="95"/>
        <v>0</v>
      </c>
    </row>
    <row r="739" spans="2:18" x14ac:dyDescent="0.2">
      <c r="B739" s="1209"/>
      <c r="C739" s="1210"/>
      <c r="D739" s="939"/>
      <c r="E739" s="1211" t="str">
        <f t="shared" si="90"/>
        <v xml:space="preserve"> </v>
      </c>
      <c r="G739" s="1212" t="str">
        <f t="shared" si="91"/>
        <v xml:space="preserve"> </v>
      </c>
      <c r="H739" s="1201"/>
      <c r="I739">
        <f t="shared" si="88"/>
        <v>0</v>
      </c>
      <c r="K739">
        <f t="shared" si="89"/>
        <v>0</v>
      </c>
      <c r="L739" s="1213"/>
      <c r="N739" s="1214" t="str">
        <f t="shared" si="92"/>
        <v xml:space="preserve"> </v>
      </c>
      <c r="O739" s="1215" t="str">
        <f t="shared" si="93"/>
        <v xml:space="preserve"> </v>
      </c>
      <c r="Q739">
        <f t="shared" si="94"/>
        <v>0</v>
      </c>
      <c r="R739">
        <f t="shared" si="95"/>
        <v>0</v>
      </c>
    </row>
    <row r="740" spans="2:18" x14ac:dyDescent="0.2">
      <c r="B740" s="1209"/>
      <c r="C740" s="1210"/>
      <c r="D740" s="939"/>
      <c r="E740" s="1211" t="str">
        <f t="shared" si="90"/>
        <v xml:space="preserve"> </v>
      </c>
      <c r="G740" s="1212" t="str">
        <f t="shared" si="91"/>
        <v xml:space="preserve"> </v>
      </c>
      <c r="H740" s="1201"/>
      <c r="I740">
        <f t="shared" si="88"/>
        <v>0</v>
      </c>
      <c r="K740">
        <f t="shared" si="89"/>
        <v>0</v>
      </c>
      <c r="L740" s="1213"/>
      <c r="N740" s="1214" t="str">
        <f t="shared" si="92"/>
        <v xml:space="preserve"> </v>
      </c>
      <c r="O740" s="1215" t="str">
        <f t="shared" si="93"/>
        <v xml:space="preserve"> </v>
      </c>
      <c r="Q740">
        <f t="shared" si="94"/>
        <v>0</v>
      </c>
      <c r="R740">
        <f t="shared" si="95"/>
        <v>0</v>
      </c>
    </row>
    <row r="741" spans="2:18" x14ac:dyDescent="0.2">
      <c r="B741" s="1209"/>
      <c r="C741" s="1210"/>
      <c r="D741" s="939"/>
      <c r="E741" s="1211" t="str">
        <f t="shared" si="90"/>
        <v xml:space="preserve"> </v>
      </c>
      <c r="G741" s="1212" t="str">
        <f t="shared" si="91"/>
        <v xml:space="preserve"> </v>
      </c>
      <c r="H741" s="1201"/>
      <c r="I741">
        <f t="shared" si="88"/>
        <v>0</v>
      </c>
      <c r="K741">
        <f t="shared" si="89"/>
        <v>0</v>
      </c>
      <c r="L741" s="1213"/>
      <c r="N741" s="1214" t="str">
        <f t="shared" si="92"/>
        <v xml:space="preserve"> </v>
      </c>
      <c r="O741" s="1215" t="str">
        <f t="shared" si="93"/>
        <v xml:space="preserve"> </v>
      </c>
      <c r="Q741">
        <f t="shared" si="94"/>
        <v>0</v>
      </c>
      <c r="R741">
        <f t="shared" si="95"/>
        <v>0</v>
      </c>
    </row>
    <row r="742" spans="2:18" x14ac:dyDescent="0.2">
      <c r="B742" s="1209"/>
      <c r="C742" s="1210"/>
      <c r="D742" s="939"/>
      <c r="E742" s="1211" t="str">
        <f t="shared" si="90"/>
        <v xml:space="preserve"> </v>
      </c>
      <c r="G742" s="1212" t="str">
        <f t="shared" si="91"/>
        <v xml:space="preserve"> </v>
      </c>
      <c r="H742" s="1201"/>
      <c r="I742">
        <f t="shared" si="88"/>
        <v>0</v>
      </c>
      <c r="K742">
        <f t="shared" si="89"/>
        <v>0</v>
      </c>
      <c r="L742" s="1213"/>
      <c r="N742" s="1214" t="str">
        <f t="shared" si="92"/>
        <v xml:space="preserve"> </v>
      </c>
      <c r="O742" s="1215" t="str">
        <f t="shared" si="93"/>
        <v xml:space="preserve"> </v>
      </c>
      <c r="Q742">
        <f t="shared" si="94"/>
        <v>0</v>
      </c>
      <c r="R742">
        <f t="shared" si="95"/>
        <v>0</v>
      </c>
    </row>
    <row r="743" spans="2:18" x14ac:dyDescent="0.2">
      <c r="B743" s="1209"/>
      <c r="C743" s="1210"/>
      <c r="D743" s="939"/>
      <c r="E743" s="1211" t="str">
        <f t="shared" si="90"/>
        <v xml:space="preserve"> </v>
      </c>
      <c r="G743" s="1212" t="str">
        <f t="shared" si="91"/>
        <v xml:space="preserve"> </v>
      </c>
      <c r="H743" s="1201"/>
      <c r="I743">
        <f t="shared" si="88"/>
        <v>0</v>
      </c>
      <c r="K743">
        <f t="shared" si="89"/>
        <v>0</v>
      </c>
      <c r="L743" s="1213"/>
      <c r="N743" s="1214" t="str">
        <f t="shared" si="92"/>
        <v xml:space="preserve"> </v>
      </c>
      <c r="O743" s="1215" t="str">
        <f t="shared" si="93"/>
        <v xml:space="preserve"> </v>
      </c>
      <c r="Q743">
        <f t="shared" si="94"/>
        <v>0</v>
      </c>
      <c r="R743">
        <f t="shared" si="95"/>
        <v>0</v>
      </c>
    </row>
    <row r="744" spans="2:18" x14ac:dyDescent="0.2">
      <c r="B744" s="1209"/>
      <c r="C744" s="1210"/>
      <c r="D744" s="939"/>
      <c r="E744" s="1211" t="str">
        <f t="shared" si="90"/>
        <v xml:space="preserve"> </v>
      </c>
      <c r="G744" s="1212" t="str">
        <f t="shared" si="91"/>
        <v xml:space="preserve"> </v>
      </c>
      <c r="H744" s="1201"/>
      <c r="I744">
        <f t="shared" si="88"/>
        <v>0</v>
      </c>
      <c r="K744">
        <f t="shared" si="89"/>
        <v>0</v>
      </c>
      <c r="L744" s="1213"/>
      <c r="N744" s="1214" t="str">
        <f t="shared" si="92"/>
        <v xml:space="preserve"> </v>
      </c>
      <c r="O744" s="1215" t="str">
        <f t="shared" si="93"/>
        <v xml:space="preserve"> </v>
      </c>
      <c r="Q744">
        <f t="shared" si="94"/>
        <v>0</v>
      </c>
      <c r="R744">
        <f t="shared" si="95"/>
        <v>0</v>
      </c>
    </row>
    <row r="745" spans="2:18" x14ac:dyDescent="0.2">
      <c r="B745" s="1209"/>
      <c r="C745" s="1210"/>
      <c r="D745" s="939"/>
      <c r="E745" s="1211" t="str">
        <f t="shared" si="90"/>
        <v xml:space="preserve"> </v>
      </c>
      <c r="G745" s="1212" t="str">
        <f t="shared" si="91"/>
        <v xml:space="preserve"> </v>
      </c>
      <c r="H745" s="1201"/>
      <c r="I745">
        <f t="shared" si="88"/>
        <v>0</v>
      </c>
      <c r="K745">
        <f t="shared" si="89"/>
        <v>0</v>
      </c>
      <c r="L745" s="1213"/>
      <c r="N745" s="1214" t="str">
        <f t="shared" si="92"/>
        <v xml:space="preserve"> </v>
      </c>
      <c r="O745" s="1215" t="str">
        <f t="shared" si="93"/>
        <v xml:space="preserve"> </v>
      </c>
      <c r="Q745">
        <f t="shared" si="94"/>
        <v>0</v>
      </c>
      <c r="R745">
        <f t="shared" si="95"/>
        <v>0</v>
      </c>
    </row>
    <row r="746" spans="2:18" x14ac:dyDescent="0.2">
      <c r="B746" s="1209"/>
      <c r="C746" s="1210"/>
      <c r="D746" s="939"/>
      <c r="E746" s="1211" t="str">
        <f t="shared" si="90"/>
        <v xml:space="preserve"> </v>
      </c>
      <c r="G746" s="1212" t="str">
        <f t="shared" si="91"/>
        <v xml:space="preserve"> </v>
      </c>
      <c r="H746" s="1201"/>
      <c r="I746">
        <f t="shared" si="88"/>
        <v>0</v>
      </c>
      <c r="K746">
        <f t="shared" si="89"/>
        <v>0</v>
      </c>
      <c r="L746" s="1213"/>
      <c r="N746" s="1214" t="str">
        <f t="shared" si="92"/>
        <v xml:space="preserve"> </v>
      </c>
      <c r="O746" s="1215" t="str">
        <f t="shared" si="93"/>
        <v xml:space="preserve"> </v>
      </c>
      <c r="Q746">
        <f t="shared" si="94"/>
        <v>0</v>
      </c>
      <c r="R746">
        <f t="shared" si="95"/>
        <v>0</v>
      </c>
    </row>
    <row r="747" spans="2:18" x14ac:dyDescent="0.2">
      <c r="B747" s="1209"/>
      <c r="C747" s="1210"/>
      <c r="D747" s="939"/>
      <c r="E747" s="1211" t="str">
        <f t="shared" si="90"/>
        <v xml:space="preserve"> </v>
      </c>
      <c r="G747" s="1212" t="str">
        <f t="shared" si="91"/>
        <v xml:space="preserve"> </v>
      </c>
      <c r="H747" s="1201"/>
      <c r="I747">
        <f t="shared" si="88"/>
        <v>0</v>
      </c>
      <c r="K747">
        <f t="shared" si="89"/>
        <v>0</v>
      </c>
      <c r="L747" s="1213"/>
      <c r="N747" s="1214" t="str">
        <f t="shared" si="92"/>
        <v xml:space="preserve"> </v>
      </c>
      <c r="O747" s="1215" t="str">
        <f t="shared" si="93"/>
        <v xml:space="preserve"> </v>
      </c>
      <c r="Q747">
        <f t="shared" si="94"/>
        <v>0</v>
      </c>
      <c r="R747">
        <f t="shared" si="95"/>
        <v>0</v>
      </c>
    </row>
    <row r="748" spans="2:18" x14ac:dyDescent="0.2">
      <c r="B748" s="1209"/>
      <c r="C748" s="1210"/>
      <c r="D748" s="939"/>
      <c r="E748" s="1211" t="str">
        <f t="shared" si="90"/>
        <v xml:space="preserve"> </v>
      </c>
      <c r="G748" s="1212" t="str">
        <f t="shared" si="91"/>
        <v xml:space="preserve"> </v>
      </c>
      <c r="H748" s="1201"/>
      <c r="I748">
        <f t="shared" si="88"/>
        <v>0</v>
      </c>
      <c r="K748">
        <f t="shared" si="89"/>
        <v>0</v>
      </c>
      <c r="L748" s="1213"/>
      <c r="N748" s="1214" t="str">
        <f t="shared" si="92"/>
        <v xml:space="preserve"> </v>
      </c>
      <c r="O748" s="1215" t="str">
        <f t="shared" si="93"/>
        <v xml:space="preserve"> </v>
      </c>
      <c r="Q748">
        <f t="shared" si="94"/>
        <v>0</v>
      </c>
      <c r="R748">
        <f t="shared" si="95"/>
        <v>0</v>
      </c>
    </row>
    <row r="749" spans="2:18" x14ac:dyDescent="0.2">
      <c r="B749" s="1209"/>
      <c r="C749" s="1210"/>
      <c r="D749" s="939"/>
      <c r="E749" s="1211" t="str">
        <f t="shared" si="90"/>
        <v xml:space="preserve"> </v>
      </c>
      <c r="G749" s="1212" t="str">
        <f t="shared" si="91"/>
        <v xml:space="preserve"> </v>
      </c>
      <c r="H749" s="1201"/>
      <c r="I749">
        <f t="shared" si="88"/>
        <v>0</v>
      </c>
      <c r="K749">
        <f t="shared" si="89"/>
        <v>0</v>
      </c>
      <c r="L749" s="1213"/>
      <c r="N749" s="1214" t="str">
        <f t="shared" si="92"/>
        <v xml:space="preserve"> </v>
      </c>
      <c r="O749" s="1215" t="str">
        <f t="shared" si="93"/>
        <v xml:space="preserve"> </v>
      </c>
      <c r="Q749">
        <f t="shared" si="94"/>
        <v>0</v>
      </c>
      <c r="R749">
        <f t="shared" si="95"/>
        <v>0</v>
      </c>
    </row>
    <row r="750" spans="2:18" x14ac:dyDescent="0.2">
      <c r="B750" s="1209"/>
      <c r="C750" s="1210"/>
      <c r="D750" s="939"/>
      <c r="E750" s="1211" t="str">
        <f t="shared" si="90"/>
        <v xml:space="preserve"> </v>
      </c>
      <c r="G750" s="1212" t="str">
        <f t="shared" si="91"/>
        <v xml:space="preserve"> </v>
      </c>
      <c r="H750" s="1201"/>
      <c r="I750">
        <f t="shared" si="88"/>
        <v>0</v>
      </c>
      <c r="K750">
        <f t="shared" si="89"/>
        <v>0</v>
      </c>
      <c r="L750" s="1213"/>
      <c r="N750" s="1214" t="str">
        <f t="shared" si="92"/>
        <v xml:space="preserve"> </v>
      </c>
      <c r="O750" s="1215" t="str">
        <f t="shared" si="93"/>
        <v xml:space="preserve"> </v>
      </c>
      <c r="Q750">
        <f t="shared" si="94"/>
        <v>0</v>
      </c>
      <c r="R750">
        <f t="shared" si="95"/>
        <v>0</v>
      </c>
    </row>
    <row r="751" spans="2:18" x14ac:dyDescent="0.2">
      <c r="B751" s="1209"/>
      <c r="C751" s="1210"/>
      <c r="D751" s="939"/>
      <c r="E751" s="1211" t="str">
        <f t="shared" si="90"/>
        <v xml:space="preserve"> </v>
      </c>
      <c r="G751" s="1212" t="str">
        <f t="shared" si="91"/>
        <v xml:space="preserve"> </v>
      </c>
      <c r="H751" s="1201"/>
      <c r="I751">
        <f t="shared" si="88"/>
        <v>0</v>
      </c>
      <c r="K751">
        <f t="shared" si="89"/>
        <v>0</v>
      </c>
      <c r="L751" s="1213"/>
      <c r="N751" s="1214" t="str">
        <f t="shared" si="92"/>
        <v xml:space="preserve"> </v>
      </c>
      <c r="O751" s="1215" t="str">
        <f t="shared" si="93"/>
        <v xml:space="preserve"> </v>
      </c>
      <c r="Q751">
        <f t="shared" si="94"/>
        <v>0</v>
      </c>
      <c r="R751">
        <f t="shared" si="95"/>
        <v>0</v>
      </c>
    </row>
    <row r="752" spans="2:18" x14ac:dyDescent="0.2">
      <c r="B752" s="1209"/>
      <c r="C752" s="1210"/>
      <c r="D752" s="939"/>
      <c r="E752" s="1211" t="str">
        <f t="shared" si="90"/>
        <v xml:space="preserve"> </v>
      </c>
      <c r="G752" s="1212" t="str">
        <f t="shared" si="91"/>
        <v xml:space="preserve"> </v>
      </c>
      <c r="H752" s="1201"/>
      <c r="I752">
        <f t="shared" si="88"/>
        <v>0</v>
      </c>
      <c r="K752">
        <f t="shared" si="89"/>
        <v>0</v>
      </c>
      <c r="L752" s="1213"/>
      <c r="N752" s="1214" t="str">
        <f t="shared" si="92"/>
        <v xml:space="preserve"> </v>
      </c>
      <c r="O752" s="1215" t="str">
        <f t="shared" si="93"/>
        <v xml:space="preserve"> </v>
      </c>
      <c r="Q752">
        <f t="shared" si="94"/>
        <v>0</v>
      </c>
      <c r="R752">
        <f t="shared" si="95"/>
        <v>0</v>
      </c>
    </row>
    <row r="753" spans="2:18" x14ac:dyDescent="0.2">
      <c r="B753" s="1209"/>
      <c r="C753" s="1210"/>
      <c r="D753" s="939"/>
      <c r="E753" s="1211" t="str">
        <f t="shared" si="90"/>
        <v xml:space="preserve"> </v>
      </c>
      <c r="G753" s="1212" t="str">
        <f t="shared" si="91"/>
        <v xml:space="preserve"> </v>
      </c>
      <c r="H753" s="1201"/>
      <c r="I753">
        <f t="shared" si="88"/>
        <v>0</v>
      </c>
      <c r="K753">
        <f t="shared" si="89"/>
        <v>0</v>
      </c>
      <c r="L753" s="1213"/>
      <c r="N753" s="1214" t="str">
        <f t="shared" si="92"/>
        <v xml:space="preserve"> </v>
      </c>
      <c r="O753" s="1215" t="str">
        <f t="shared" si="93"/>
        <v xml:space="preserve"> </v>
      </c>
      <c r="Q753">
        <f t="shared" si="94"/>
        <v>0</v>
      </c>
      <c r="R753">
        <f t="shared" si="95"/>
        <v>0</v>
      </c>
    </row>
    <row r="754" spans="2:18" x14ac:dyDescent="0.2">
      <c r="B754" s="1209"/>
      <c r="C754" s="1210"/>
      <c r="D754" s="939"/>
      <c r="E754" s="1211" t="str">
        <f t="shared" si="90"/>
        <v xml:space="preserve"> </v>
      </c>
      <c r="G754" s="1212" t="str">
        <f t="shared" si="91"/>
        <v xml:space="preserve"> </v>
      </c>
      <c r="H754" s="1201"/>
      <c r="I754">
        <f t="shared" si="88"/>
        <v>0</v>
      </c>
      <c r="K754">
        <f t="shared" si="89"/>
        <v>0</v>
      </c>
      <c r="L754" s="1213"/>
      <c r="N754" s="1214" t="str">
        <f t="shared" si="92"/>
        <v xml:space="preserve"> </v>
      </c>
      <c r="O754" s="1215" t="str">
        <f t="shared" si="93"/>
        <v xml:space="preserve"> </v>
      </c>
      <c r="Q754">
        <f t="shared" si="94"/>
        <v>0</v>
      </c>
      <c r="R754">
        <f t="shared" si="95"/>
        <v>0</v>
      </c>
    </row>
    <row r="755" spans="2:18" x14ac:dyDescent="0.2">
      <c r="B755" s="1209"/>
      <c r="C755" s="1210"/>
      <c r="D755" s="939"/>
      <c r="E755" s="1211" t="str">
        <f t="shared" si="90"/>
        <v xml:space="preserve"> </v>
      </c>
      <c r="G755" s="1212" t="str">
        <f t="shared" si="91"/>
        <v xml:space="preserve"> </v>
      </c>
      <c r="H755" s="1201"/>
      <c r="I755">
        <f t="shared" si="88"/>
        <v>0</v>
      </c>
      <c r="K755">
        <f t="shared" si="89"/>
        <v>0</v>
      </c>
      <c r="L755" s="1213"/>
      <c r="N755" s="1214" t="str">
        <f t="shared" si="92"/>
        <v xml:space="preserve"> </v>
      </c>
      <c r="O755" s="1215" t="str">
        <f t="shared" si="93"/>
        <v xml:space="preserve"> </v>
      </c>
      <c r="Q755">
        <f t="shared" si="94"/>
        <v>0</v>
      </c>
      <c r="R755">
        <f t="shared" si="95"/>
        <v>0</v>
      </c>
    </row>
    <row r="756" spans="2:18" x14ac:dyDescent="0.2">
      <c r="B756" s="1209"/>
      <c r="C756" s="1210"/>
      <c r="D756" s="939"/>
      <c r="E756" s="1211" t="str">
        <f t="shared" si="90"/>
        <v xml:space="preserve"> </v>
      </c>
      <c r="G756" s="1212" t="str">
        <f t="shared" si="91"/>
        <v xml:space="preserve"> </v>
      </c>
      <c r="H756" s="1201"/>
      <c r="I756">
        <f t="shared" si="88"/>
        <v>0</v>
      </c>
      <c r="K756">
        <f t="shared" si="89"/>
        <v>0</v>
      </c>
      <c r="L756" s="1213"/>
      <c r="N756" s="1214" t="str">
        <f t="shared" si="92"/>
        <v xml:space="preserve"> </v>
      </c>
      <c r="O756" s="1215" t="str">
        <f t="shared" si="93"/>
        <v xml:space="preserve"> </v>
      </c>
      <c r="Q756">
        <f t="shared" si="94"/>
        <v>0</v>
      </c>
      <c r="R756">
        <f t="shared" si="95"/>
        <v>0</v>
      </c>
    </row>
    <row r="757" spans="2:18" x14ac:dyDescent="0.2">
      <c r="B757" s="1209"/>
      <c r="C757" s="1210"/>
      <c r="D757" s="939"/>
      <c r="E757" s="1211" t="str">
        <f t="shared" si="90"/>
        <v xml:space="preserve"> </v>
      </c>
      <c r="G757" s="1212" t="str">
        <f t="shared" si="91"/>
        <v xml:space="preserve"> </v>
      </c>
      <c r="H757" s="1201"/>
      <c r="I757">
        <f t="shared" si="88"/>
        <v>0</v>
      </c>
      <c r="K757">
        <f t="shared" si="89"/>
        <v>0</v>
      </c>
      <c r="L757" s="1213"/>
      <c r="N757" s="1214" t="str">
        <f t="shared" si="92"/>
        <v xml:space="preserve"> </v>
      </c>
      <c r="O757" s="1215" t="str">
        <f t="shared" si="93"/>
        <v xml:space="preserve"> </v>
      </c>
      <c r="Q757">
        <f t="shared" si="94"/>
        <v>0</v>
      </c>
      <c r="R757">
        <f t="shared" si="95"/>
        <v>0</v>
      </c>
    </row>
    <row r="758" spans="2:18" x14ac:dyDescent="0.2">
      <c r="B758" s="1209"/>
      <c r="C758" s="1210"/>
      <c r="D758" s="939"/>
      <c r="E758" s="1211" t="str">
        <f t="shared" si="90"/>
        <v xml:space="preserve"> </v>
      </c>
      <c r="G758" s="1212" t="str">
        <f t="shared" si="91"/>
        <v xml:space="preserve"> </v>
      </c>
      <c r="H758" s="1201"/>
      <c r="I758">
        <f t="shared" si="88"/>
        <v>0</v>
      </c>
      <c r="K758">
        <f t="shared" si="89"/>
        <v>0</v>
      </c>
      <c r="L758" s="1213"/>
      <c r="N758" s="1214" t="str">
        <f t="shared" si="92"/>
        <v xml:space="preserve"> </v>
      </c>
      <c r="O758" s="1215" t="str">
        <f t="shared" si="93"/>
        <v xml:space="preserve"> </v>
      </c>
      <c r="Q758">
        <f t="shared" si="94"/>
        <v>0</v>
      </c>
      <c r="R758">
        <f t="shared" si="95"/>
        <v>0</v>
      </c>
    </row>
    <row r="759" spans="2:18" x14ac:dyDescent="0.2">
      <c r="B759" s="1209"/>
      <c r="C759" s="1210"/>
      <c r="D759" s="939"/>
      <c r="E759" s="1211" t="str">
        <f t="shared" si="90"/>
        <v xml:space="preserve"> </v>
      </c>
      <c r="G759" s="1212" t="str">
        <f t="shared" si="91"/>
        <v xml:space="preserve"> </v>
      </c>
      <c r="H759" s="1201"/>
      <c r="I759">
        <f t="shared" si="88"/>
        <v>0</v>
      </c>
      <c r="K759">
        <f t="shared" si="89"/>
        <v>0</v>
      </c>
      <c r="L759" s="1213"/>
      <c r="N759" s="1214" t="str">
        <f t="shared" si="92"/>
        <v xml:space="preserve"> </v>
      </c>
      <c r="O759" s="1215" t="str">
        <f t="shared" si="93"/>
        <v xml:space="preserve"> </v>
      </c>
      <c r="Q759">
        <f t="shared" si="94"/>
        <v>0</v>
      </c>
      <c r="R759">
        <f t="shared" si="95"/>
        <v>0</v>
      </c>
    </row>
    <row r="760" spans="2:18" x14ac:dyDescent="0.2">
      <c r="B760" s="1209"/>
      <c r="C760" s="1210"/>
      <c r="D760" s="939"/>
      <c r="E760" s="1211" t="str">
        <f t="shared" si="90"/>
        <v xml:space="preserve"> </v>
      </c>
      <c r="G760" s="1212" t="str">
        <f t="shared" si="91"/>
        <v xml:space="preserve"> </v>
      </c>
      <c r="H760" s="1201"/>
      <c r="I760">
        <f t="shared" si="88"/>
        <v>0</v>
      </c>
      <c r="K760">
        <f t="shared" si="89"/>
        <v>0</v>
      </c>
      <c r="L760" s="1213"/>
      <c r="N760" s="1214" t="str">
        <f t="shared" si="92"/>
        <v xml:space="preserve"> </v>
      </c>
      <c r="O760" s="1215" t="str">
        <f t="shared" si="93"/>
        <v xml:space="preserve"> </v>
      </c>
      <c r="Q760">
        <f t="shared" si="94"/>
        <v>0</v>
      </c>
      <c r="R760">
        <f t="shared" si="95"/>
        <v>0</v>
      </c>
    </row>
    <row r="761" spans="2:18" x14ac:dyDescent="0.2">
      <c r="B761" s="1209"/>
      <c r="C761" s="1210"/>
      <c r="D761" s="939"/>
      <c r="E761" s="1211" t="str">
        <f t="shared" si="90"/>
        <v xml:space="preserve"> </v>
      </c>
      <c r="G761" s="1212" t="str">
        <f t="shared" si="91"/>
        <v xml:space="preserve"> </v>
      </c>
      <c r="H761" s="1201"/>
      <c r="I761">
        <f t="shared" si="88"/>
        <v>0</v>
      </c>
      <c r="K761">
        <f t="shared" si="89"/>
        <v>0</v>
      </c>
      <c r="L761" s="1213"/>
      <c r="N761" s="1214" t="str">
        <f t="shared" si="92"/>
        <v xml:space="preserve"> </v>
      </c>
      <c r="O761" s="1215" t="str">
        <f t="shared" si="93"/>
        <v xml:space="preserve"> </v>
      </c>
      <c r="Q761">
        <f t="shared" si="94"/>
        <v>0</v>
      </c>
      <c r="R761">
        <f t="shared" si="95"/>
        <v>0</v>
      </c>
    </row>
    <row r="762" spans="2:18" x14ac:dyDescent="0.2">
      <c r="B762" s="1209"/>
      <c r="C762" s="1210"/>
      <c r="D762" s="939"/>
      <c r="E762" s="1211" t="str">
        <f t="shared" si="90"/>
        <v xml:space="preserve"> </v>
      </c>
      <c r="G762" s="1212" t="str">
        <f t="shared" si="91"/>
        <v xml:space="preserve"> </v>
      </c>
      <c r="H762" s="1201"/>
      <c r="I762">
        <f t="shared" si="88"/>
        <v>0</v>
      </c>
      <c r="K762">
        <f t="shared" si="89"/>
        <v>0</v>
      </c>
      <c r="L762" s="1213"/>
      <c r="N762" s="1214" t="str">
        <f t="shared" si="92"/>
        <v xml:space="preserve"> </v>
      </c>
      <c r="O762" s="1215" t="str">
        <f t="shared" si="93"/>
        <v xml:space="preserve"> </v>
      </c>
      <c r="Q762">
        <f t="shared" si="94"/>
        <v>0</v>
      </c>
      <c r="R762">
        <f t="shared" si="95"/>
        <v>0</v>
      </c>
    </row>
    <row r="763" spans="2:18" x14ac:dyDescent="0.2">
      <c r="B763" s="1209"/>
      <c r="C763" s="1210"/>
      <c r="D763" s="939"/>
      <c r="E763" s="1211" t="str">
        <f t="shared" si="90"/>
        <v xml:space="preserve"> </v>
      </c>
      <c r="G763" s="1212" t="str">
        <f t="shared" si="91"/>
        <v xml:space="preserve"> </v>
      </c>
      <c r="H763" s="1201"/>
      <c r="I763">
        <f t="shared" si="88"/>
        <v>0</v>
      </c>
      <c r="K763">
        <f t="shared" si="89"/>
        <v>0</v>
      </c>
      <c r="L763" s="1213"/>
      <c r="N763" s="1214" t="str">
        <f t="shared" si="92"/>
        <v xml:space="preserve"> </v>
      </c>
      <c r="O763" s="1215" t="str">
        <f t="shared" si="93"/>
        <v xml:space="preserve"> </v>
      </c>
      <c r="Q763">
        <f t="shared" si="94"/>
        <v>0</v>
      </c>
      <c r="R763">
        <f t="shared" si="95"/>
        <v>0</v>
      </c>
    </row>
    <row r="764" spans="2:18" x14ac:dyDescent="0.2">
      <c r="B764" s="1209"/>
      <c r="C764" s="1210"/>
      <c r="D764" s="939"/>
      <c r="E764" s="1211" t="str">
        <f t="shared" si="90"/>
        <v xml:space="preserve"> </v>
      </c>
      <c r="G764" s="1212" t="str">
        <f t="shared" si="91"/>
        <v xml:space="preserve"> </v>
      </c>
      <c r="H764" s="1201"/>
      <c r="I764">
        <f t="shared" si="88"/>
        <v>0</v>
      </c>
      <c r="K764">
        <f t="shared" si="89"/>
        <v>0</v>
      </c>
      <c r="L764" s="1213"/>
      <c r="N764" s="1214" t="str">
        <f t="shared" si="92"/>
        <v xml:space="preserve"> </v>
      </c>
      <c r="O764" s="1215" t="str">
        <f t="shared" si="93"/>
        <v xml:space="preserve"> </v>
      </c>
      <c r="Q764">
        <f t="shared" si="94"/>
        <v>0</v>
      </c>
      <c r="R764">
        <f t="shared" si="95"/>
        <v>0</v>
      </c>
    </row>
    <row r="765" spans="2:18" x14ac:dyDescent="0.2">
      <c r="B765" s="1209"/>
      <c r="C765" s="1210"/>
      <c r="D765" s="939"/>
      <c r="E765" s="1211" t="str">
        <f t="shared" si="90"/>
        <v xml:space="preserve"> </v>
      </c>
      <c r="G765" s="1212" t="str">
        <f t="shared" si="91"/>
        <v xml:space="preserve"> </v>
      </c>
      <c r="H765" s="1201"/>
      <c r="I765">
        <f t="shared" si="88"/>
        <v>0</v>
      </c>
      <c r="K765">
        <f t="shared" si="89"/>
        <v>0</v>
      </c>
      <c r="L765" s="1213"/>
      <c r="N765" s="1214" t="str">
        <f t="shared" si="92"/>
        <v xml:space="preserve"> </v>
      </c>
      <c r="O765" s="1215" t="str">
        <f t="shared" si="93"/>
        <v xml:space="preserve"> </v>
      </c>
      <c r="Q765">
        <f t="shared" si="94"/>
        <v>0</v>
      </c>
      <c r="R765">
        <f t="shared" si="95"/>
        <v>0</v>
      </c>
    </row>
    <row r="766" spans="2:18" x14ac:dyDescent="0.2">
      <c r="B766" s="1209"/>
      <c r="C766" s="1210"/>
      <c r="D766" s="939"/>
      <c r="E766" s="1211" t="str">
        <f t="shared" si="90"/>
        <v xml:space="preserve"> </v>
      </c>
      <c r="G766" s="1212" t="str">
        <f t="shared" si="91"/>
        <v xml:space="preserve"> </v>
      </c>
      <c r="H766" s="1201"/>
      <c r="I766">
        <f t="shared" si="88"/>
        <v>0</v>
      </c>
      <c r="K766">
        <f t="shared" si="89"/>
        <v>0</v>
      </c>
      <c r="L766" s="1213"/>
      <c r="N766" s="1214" t="str">
        <f t="shared" si="92"/>
        <v xml:space="preserve"> </v>
      </c>
      <c r="O766" s="1215" t="str">
        <f t="shared" si="93"/>
        <v xml:space="preserve"> </v>
      </c>
      <c r="Q766">
        <f t="shared" si="94"/>
        <v>0</v>
      </c>
      <c r="R766">
        <f t="shared" si="95"/>
        <v>0</v>
      </c>
    </row>
    <row r="767" spans="2:18" x14ac:dyDescent="0.2">
      <c r="B767" s="1209"/>
      <c r="C767" s="1210"/>
      <c r="D767" s="939"/>
      <c r="E767" s="1211" t="str">
        <f t="shared" si="90"/>
        <v xml:space="preserve"> </v>
      </c>
      <c r="G767" s="1212" t="str">
        <f t="shared" si="91"/>
        <v xml:space="preserve"> </v>
      </c>
      <c r="H767" s="1201"/>
      <c r="I767">
        <f t="shared" si="88"/>
        <v>0</v>
      </c>
      <c r="K767">
        <f t="shared" si="89"/>
        <v>0</v>
      </c>
      <c r="L767" s="1213"/>
      <c r="N767" s="1214" t="str">
        <f t="shared" si="92"/>
        <v xml:space="preserve"> </v>
      </c>
      <c r="O767" s="1215" t="str">
        <f t="shared" si="93"/>
        <v xml:space="preserve"> </v>
      </c>
      <c r="Q767">
        <f t="shared" si="94"/>
        <v>0</v>
      </c>
      <c r="R767">
        <f t="shared" si="95"/>
        <v>0</v>
      </c>
    </row>
    <row r="768" spans="2:18" x14ac:dyDescent="0.2">
      <c r="B768" s="1209"/>
      <c r="C768" s="1210"/>
      <c r="D768" s="939"/>
      <c r="E768" s="1211" t="str">
        <f t="shared" si="90"/>
        <v xml:space="preserve"> </v>
      </c>
      <c r="G768" s="1212" t="str">
        <f t="shared" si="91"/>
        <v xml:space="preserve"> </v>
      </c>
      <c r="H768" s="1201"/>
      <c r="I768">
        <f t="shared" si="88"/>
        <v>0</v>
      </c>
      <c r="K768">
        <f t="shared" si="89"/>
        <v>0</v>
      </c>
      <c r="L768" s="1213"/>
      <c r="N768" s="1214" t="str">
        <f t="shared" si="92"/>
        <v xml:space="preserve"> </v>
      </c>
      <c r="O768" s="1215" t="str">
        <f t="shared" si="93"/>
        <v xml:space="preserve"> </v>
      </c>
      <c r="Q768">
        <f t="shared" si="94"/>
        <v>0</v>
      </c>
      <c r="R768">
        <f t="shared" si="95"/>
        <v>0</v>
      </c>
    </row>
    <row r="769" spans="2:18" x14ac:dyDescent="0.2">
      <c r="B769" s="1209"/>
      <c r="C769" s="1210"/>
      <c r="D769" s="939"/>
      <c r="E769" s="1211" t="str">
        <f t="shared" si="90"/>
        <v xml:space="preserve"> </v>
      </c>
      <c r="G769" s="1212" t="str">
        <f t="shared" si="91"/>
        <v xml:space="preserve"> </v>
      </c>
      <c r="H769" s="1201"/>
      <c r="I769">
        <f t="shared" si="88"/>
        <v>0</v>
      </c>
      <c r="K769">
        <f t="shared" si="89"/>
        <v>0</v>
      </c>
      <c r="L769" s="1213"/>
      <c r="N769" s="1214" t="str">
        <f t="shared" si="92"/>
        <v xml:space="preserve"> </v>
      </c>
      <c r="O769" s="1215" t="str">
        <f t="shared" si="93"/>
        <v xml:space="preserve"> </v>
      </c>
      <c r="Q769">
        <f t="shared" si="94"/>
        <v>0</v>
      </c>
      <c r="R769">
        <f t="shared" si="95"/>
        <v>0</v>
      </c>
    </row>
    <row r="770" spans="2:18" x14ac:dyDescent="0.2">
      <c r="B770" s="1209"/>
      <c r="C770" s="1210"/>
      <c r="D770" s="939"/>
      <c r="E770" s="1211" t="str">
        <f t="shared" si="90"/>
        <v xml:space="preserve"> </v>
      </c>
      <c r="G770" s="1212" t="str">
        <f t="shared" si="91"/>
        <v xml:space="preserve"> </v>
      </c>
      <c r="H770" s="1201"/>
      <c r="I770">
        <f t="shared" si="88"/>
        <v>0</v>
      </c>
      <c r="K770">
        <f t="shared" si="89"/>
        <v>0</v>
      </c>
      <c r="L770" s="1213"/>
      <c r="N770" s="1214" t="str">
        <f t="shared" si="92"/>
        <v xml:space="preserve"> </v>
      </c>
      <c r="O770" s="1215" t="str">
        <f t="shared" si="93"/>
        <v xml:space="preserve"> </v>
      </c>
      <c r="Q770">
        <f t="shared" si="94"/>
        <v>0</v>
      </c>
      <c r="R770">
        <f t="shared" si="95"/>
        <v>0</v>
      </c>
    </row>
    <row r="771" spans="2:18" x14ac:dyDescent="0.2">
      <c r="B771" s="1209"/>
      <c r="C771" s="1210"/>
      <c r="D771" s="939"/>
      <c r="E771" s="1211" t="str">
        <f t="shared" si="90"/>
        <v xml:space="preserve"> </v>
      </c>
      <c r="G771" s="1212" t="str">
        <f t="shared" si="91"/>
        <v xml:space="preserve"> </v>
      </c>
      <c r="H771" s="1201"/>
      <c r="I771">
        <f t="shared" si="88"/>
        <v>0</v>
      </c>
      <c r="K771">
        <f t="shared" si="89"/>
        <v>0</v>
      </c>
      <c r="L771" s="1213"/>
      <c r="N771" s="1214" t="str">
        <f t="shared" si="92"/>
        <v xml:space="preserve"> </v>
      </c>
      <c r="O771" s="1215" t="str">
        <f t="shared" si="93"/>
        <v xml:space="preserve"> </v>
      </c>
      <c r="Q771">
        <f t="shared" si="94"/>
        <v>0</v>
      </c>
      <c r="R771">
        <f t="shared" si="95"/>
        <v>0</v>
      </c>
    </row>
    <row r="772" spans="2:18" x14ac:dyDescent="0.2">
      <c r="B772" s="1209"/>
      <c r="C772" s="1210"/>
      <c r="D772" s="939"/>
      <c r="E772" s="1211" t="str">
        <f t="shared" si="90"/>
        <v xml:space="preserve"> </v>
      </c>
      <c r="G772" s="1212" t="str">
        <f t="shared" si="91"/>
        <v xml:space="preserve"> </v>
      </c>
      <c r="H772" s="1201"/>
      <c r="I772">
        <f t="shared" si="88"/>
        <v>0</v>
      </c>
      <c r="K772">
        <f t="shared" si="89"/>
        <v>0</v>
      </c>
      <c r="L772" s="1213"/>
      <c r="N772" s="1214" t="str">
        <f t="shared" si="92"/>
        <v xml:space="preserve"> </v>
      </c>
      <c r="O772" s="1215" t="str">
        <f t="shared" si="93"/>
        <v xml:space="preserve"> </v>
      </c>
      <c r="Q772">
        <f t="shared" si="94"/>
        <v>0</v>
      </c>
      <c r="R772">
        <f t="shared" si="95"/>
        <v>0</v>
      </c>
    </row>
    <row r="773" spans="2:18" x14ac:dyDescent="0.2">
      <c r="B773" s="1209"/>
      <c r="C773" s="1210"/>
      <c r="D773" s="939"/>
      <c r="E773" s="1211" t="str">
        <f t="shared" si="90"/>
        <v xml:space="preserve"> </v>
      </c>
      <c r="G773" s="1212" t="str">
        <f t="shared" si="91"/>
        <v xml:space="preserve"> </v>
      </c>
      <c r="H773" s="1201"/>
      <c r="I773">
        <f t="shared" si="88"/>
        <v>0</v>
      </c>
      <c r="K773">
        <f t="shared" si="89"/>
        <v>0</v>
      </c>
      <c r="L773" s="1213"/>
      <c r="N773" s="1214" t="str">
        <f t="shared" si="92"/>
        <v xml:space="preserve"> </v>
      </c>
      <c r="O773" s="1215" t="str">
        <f t="shared" si="93"/>
        <v xml:space="preserve"> </v>
      </c>
      <c r="Q773">
        <f t="shared" si="94"/>
        <v>0</v>
      </c>
      <c r="R773">
        <f t="shared" si="95"/>
        <v>0</v>
      </c>
    </row>
    <row r="774" spans="2:18" x14ac:dyDescent="0.2">
      <c r="B774" s="1209"/>
      <c r="C774" s="1210"/>
      <c r="D774" s="939"/>
      <c r="E774" s="1211" t="str">
        <f t="shared" si="90"/>
        <v xml:space="preserve"> </v>
      </c>
      <c r="G774" s="1212" t="str">
        <f t="shared" si="91"/>
        <v xml:space="preserve"> </v>
      </c>
      <c r="H774" s="1201"/>
      <c r="I774">
        <f t="shared" si="88"/>
        <v>0</v>
      </c>
      <c r="K774">
        <f t="shared" si="89"/>
        <v>0</v>
      </c>
      <c r="L774" s="1213"/>
      <c r="N774" s="1214" t="str">
        <f t="shared" si="92"/>
        <v xml:space="preserve"> </v>
      </c>
      <c r="O774" s="1215" t="str">
        <f t="shared" si="93"/>
        <v xml:space="preserve"> </v>
      </c>
      <c r="Q774">
        <f t="shared" si="94"/>
        <v>0</v>
      </c>
      <c r="R774">
        <f t="shared" si="95"/>
        <v>0</v>
      </c>
    </row>
    <row r="775" spans="2:18" x14ac:dyDescent="0.2">
      <c r="B775" s="1209"/>
      <c r="C775" s="1210"/>
      <c r="D775" s="939"/>
      <c r="E775" s="1211" t="str">
        <f t="shared" si="90"/>
        <v xml:space="preserve"> </v>
      </c>
      <c r="G775" s="1212" t="str">
        <f t="shared" si="91"/>
        <v xml:space="preserve"> </v>
      </c>
      <c r="H775" s="1201"/>
      <c r="I775">
        <f t="shared" si="88"/>
        <v>0</v>
      </c>
      <c r="K775">
        <f t="shared" si="89"/>
        <v>0</v>
      </c>
      <c r="L775" s="1213"/>
      <c r="N775" s="1214" t="str">
        <f t="shared" si="92"/>
        <v xml:space="preserve"> </v>
      </c>
      <c r="O775" s="1215" t="str">
        <f t="shared" si="93"/>
        <v xml:space="preserve"> </v>
      </c>
      <c r="Q775">
        <f t="shared" si="94"/>
        <v>0</v>
      </c>
      <c r="R775">
        <f t="shared" si="95"/>
        <v>0</v>
      </c>
    </row>
    <row r="776" spans="2:18" x14ac:dyDescent="0.2">
      <c r="B776" s="1209"/>
      <c r="C776" s="1210"/>
      <c r="D776" s="939"/>
      <c r="E776" s="1211" t="str">
        <f t="shared" si="90"/>
        <v xml:space="preserve"> </v>
      </c>
      <c r="G776" s="1212" t="str">
        <f t="shared" si="91"/>
        <v xml:space="preserve"> </v>
      </c>
      <c r="H776" s="1201"/>
      <c r="I776">
        <f t="shared" ref="I776:I839" si="96">(J776+C776)/12</f>
        <v>0</v>
      </c>
      <c r="K776">
        <f t="shared" ref="K776:K839" si="97">I776+B776</f>
        <v>0</v>
      </c>
      <c r="L776" s="1213"/>
      <c r="N776" s="1214" t="str">
        <f t="shared" si="92"/>
        <v xml:space="preserve"> </v>
      </c>
      <c r="O776" s="1215" t="str">
        <f t="shared" si="93"/>
        <v xml:space="preserve"> </v>
      </c>
      <c r="Q776">
        <f t="shared" si="94"/>
        <v>0</v>
      </c>
      <c r="R776">
        <f t="shared" si="95"/>
        <v>0</v>
      </c>
    </row>
    <row r="777" spans="2:18" x14ac:dyDescent="0.2">
      <c r="B777" s="1209"/>
      <c r="C777" s="1210"/>
      <c r="D777" s="939"/>
      <c r="E777" s="1211" t="str">
        <f t="shared" si="90"/>
        <v xml:space="preserve"> </v>
      </c>
      <c r="G777" s="1212" t="str">
        <f t="shared" si="91"/>
        <v xml:space="preserve"> </v>
      </c>
      <c r="H777" s="1201"/>
      <c r="I777">
        <f t="shared" si="96"/>
        <v>0</v>
      </c>
      <c r="K777">
        <f t="shared" si="97"/>
        <v>0</v>
      </c>
      <c r="L777" s="1213"/>
      <c r="N777" s="1214" t="str">
        <f t="shared" si="92"/>
        <v xml:space="preserve"> </v>
      </c>
      <c r="O777" s="1215" t="str">
        <f t="shared" si="93"/>
        <v xml:space="preserve"> </v>
      </c>
      <c r="Q777">
        <f t="shared" si="94"/>
        <v>0</v>
      </c>
      <c r="R777">
        <f t="shared" si="95"/>
        <v>0</v>
      </c>
    </row>
    <row r="778" spans="2:18" x14ac:dyDescent="0.2">
      <c r="B778" s="1209"/>
      <c r="C778" s="1210"/>
      <c r="D778" s="939"/>
      <c r="E778" s="1211" t="str">
        <f t="shared" ref="E778:E841" si="98">IF(K778=0," ",IF(K778&gt;0,K778*12*25.4))</f>
        <v xml:space="preserve"> </v>
      </c>
      <c r="G778" s="1212" t="str">
        <f t="shared" ref="G778:G841" si="99">IF(K778=0," ",IF(K778&gt;0,E778/1000))</f>
        <v xml:space="preserve"> </v>
      </c>
      <c r="H778" s="1201"/>
      <c r="I778">
        <f t="shared" si="96"/>
        <v>0</v>
      </c>
      <c r="K778">
        <f t="shared" si="97"/>
        <v>0</v>
      </c>
      <c r="L778" s="1213"/>
      <c r="N778" s="1214" t="str">
        <f t="shared" ref="N778:N841" si="100">IF(R778=0," ",IF(R778&gt;0,TRUNC(R778)))</f>
        <v xml:space="preserve"> </v>
      </c>
      <c r="O778" s="1215" t="str">
        <f t="shared" ref="O778:O841" si="101">IF(R778=0," ",IF(R778&gt;0,(R778-N778)*12))</f>
        <v xml:space="preserve"> </v>
      </c>
      <c r="Q778">
        <f t="shared" ref="Q778:Q841" si="102">L778/25.4</f>
        <v>0</v>
      </c>
      <c r="R778">
        <f t="shared" ref="R778:R841" si="103">Q778/12</f>
        <v>0</v>
      </c>
    </row>
    <row r="779" spans="2:18" x14ac:dyDescent="0.2">
      <c r="B779" s="1209"/>
      <c r="C779" s="1210"/>
      <c r="D779" s="939"/>
      <c r="E779" s="1211" t="str">
        <f t="shared" si="98"/>
        <v xml:space="preserve"> </v>
      </c>
      <c r="G779" s="1212" t="str">
        <f t="shared" si="99"/>
        <v xml:space="preserve"> </v>
      </c>
      <c r="H779" s="1201"/>
      <c r="I779">
        <f t="shared" si="96"/>
        <v>0</v>
      </c>
      <c r="K779">
        <f t="shared" si="97"/>
        <v>0</v>
      </c>
      <c r="L779" s="1213"/>
      <c r="N779" s="1214" t="str">
        <f t="shared" si="100"/>
        <v xml:space="preserve"> </v>
      </c>
      <c r="O779" s="1215" t="str">
        <f t="shared" si="101"/>
        <v xml:space="preserve"> </v>
      </c>
      <c r="Q779">
        <f t="shared" si="102"/>
        <v>0</v>
      </c>
      <c r="R779">
        <f t="shared" si="103"/>
        <v>0</v>
      </c>
    </row>
    <row r="780" spans="2:18" x14ac:dyDescent="0.2">
      <c r="B780" s="1209"/>
      <c r="C780" s="1210"/>
      <c r="D780" s="939"/>
      <c r="E780" s="1211" t="str">
        <f t="shared" si="98"/>
        <v xml:space="preserve"> </v>
      </c>
      <c r="G780" s="1212" t="str">
        <f t="shared" si="99"/>
        <v xml:space="preserve"> </v>
      </c>
      <c r="H780" s="1201"/>
      <c r="I780">
        <f t="shared" si="96"/>
        <v>0</v>
      </c>
      <c r="K780">
        <f t="shared" si="97"/>
        <v>0</v>
      </c>
      <c r="L780" s="1213"/>
      <c r="N780" s="1214" t="str">
        <f t="shared" si="100"/>
        <v xml:space="preserve"> </v>
      </c>
      <c r="O780" s="1215" t="str">
        <f t="shared" si="101"/>
        <v xml:space="preserve"> </v>
      </c>
      <c r="Q780">
        <f t="shared" si="102"/>
        <v>0</v>
      </c>
      <c r="R780">
        <f t="shared" si="103"/>
        <v>0</v>
      </c>
    </row>
    <row r="781" spans="2:18" x14ac:dyDescent="0.2">
      <c r="B781" s="1209"/>
      <c r="C781" s="1210"/>
      <c r="D781" s="939"/>
      <c r="E781" s="1211" t="str">
        <f t="shared" si="98"/>
        <v xml:space="preserve"> </v>
      </c>
      <c r="G781" s="1212" t="str">
        <f t="shared" si="99"/>
        <v xml:space="preserve"> </v>
      </c>
      <c r="H781" s="1201"/>
      <c r="I781">
        <f t="shared" si="96"/>
        <v>0</v>
      </c>
      <c r="K781">
        <f t="shared" si="97"/>
        <v>0</v>
      </c>
      <c r="L781" s="1213"/>
      <c r="N781" s="1214" t="str">
        <f t="shared" si="100"/>
        <v xml:space="preserve"> </v>
      </c>
      <c r="O781" s="1215" t="str">
        <f t="shared" si="101"/>
        <v xml:space="preserve"> </v>
      </c>
      <c r="Q781">
        <f t="shared" si="102"/>
        <v>0</v>
      </c>
      <c r="R781">
        <f t="shared" si="103"/>
        <v>0</v>
      </c>
    </row>
    <row r="782" spans="2:18" x14ac:dyDescent="0.2">
      <c r="B782" s="1209"/>
      <c r="C782" s="1210"/>
      <c r="D782" s="939"/>
      <c r="E782" s="1211" t="str">
        <f t="shared" si="98"/>
        <v xml:space="preserve"> </v>
      </c>
      <c r="G782" s="1212" t="str">
        <f t="shared" si="99"/>
        <v xml:space="preserve"> </v>
      </c>
      <c r="H782" s="1201"/>
      <c r="I782">
        <f t="shared" si="96"/>
        <v>0</v>
      </c>
      <c r="K782">
        <f t="shared" si="97"/>
        <v>0</v>
      </c>
      <c r="L782" s="1213"/>
      <c r="N782" s="1214" t="str">
        <f t="shared" si="100"/>
        <v xml:space="preserve"> </v>
      </c>
      <c r="O782" s="1215" t="str">
        <f t="shared" si="101"/>
        <v xml:space="preserve"> </v>
      </c>
      <c r="Q782">
        <f t="shared" si="102"/>
        <v>0</v>
      </c>
      <c r="R782">
        <f t="shared" si="103"/>
        <v>0</v>
      </c>
    </row>
    <row r="783" spans="2:18" x14ac:dyDescent="0.2">
      <c r="B783" s="1209"/>
      <c r="C783" s="1210"/>
      <c r="D783" s="939"/>
      <c r="E783" s="1211" t="str">
        <f t="shared" si="98"/>
        <v xml:space="preserve"> </v>
      </c>
      <c r="G783" s="1212" t="str">
        <f t="shared" si="99"/>
        <v xml:space="preserve"> </v>
      </c>
      <c r="H783" s="1201"/>
      <c r="I783">
        <f t="shared" si="96"/>
        <v>0</v>
      </c>
      <c r="K783">
        <f t="shared" si="97"/>
        <v>0</v>
      </c>
      <c r="L783" s="1213"/>
      <c r="N783" s="1214" t="str">
        <f t="shared" si="100"/>
        <v xml:space="preserve"> </v>
      </c>
      <c r="O783" s="1215" t="str">
        <f t="shared" si="101"/>
        <v xml:space="preserve"> </v>
      </c>
      <c r="Q783">
        <f t="shared" si="102"/>
        <v>0</v>
      </c>
      <c r="R783">
        <f t="shared" si="103"/>
        <v>0</v>
      </c>
    </row>
    <row r="784" spans="2:18" x14ac:dyDescent="0.2">
      <c r="B784" s="1209"/>
      <c r="C784" s="1210"/>
      <c r="D784" s="939"/>
      <c r="E784" s="1211" t="str">
        <f t="shared" si="98"/>
        <v xml:space="preserve"> </v>
      </c>
      <c r="G784" s="1212" t="str">
        <f t="shared" si="99"/>
        <v xml:space="preserve"> </v>
      </c>
      <c r="H784" s="1201"/>
      <c r="I784">
        <f t="shared" si="96"/>
        <v>0</v>
      </c>
      <c r="K784">
        <f t="shared" si="97"/>
        <v>0</v>
      </c>
      <c r="L784" s="1213"/>
      <c r="N784" s="1214" t="str">
        <f t="shared" si="100"/>
        <v xml:space="preserve"> </v>
      </c>
      <c r="O784" s="1215" t="str">
        <f t="shared" si="101"/>
        <v xml:space="preserve"> </v>
      </c>
      <c r="Q784">
        <f t="shared" si="102"/>
        <v>0</v>
      </c>
      <c r="R784">
        <f t="shared" si="103"/>
        <v>0</v>
      </c>
    </row>
    <row r="785" spans="2:18" x14ac:dyDescent="0.2">
      <c r="B785" s="1209"/>
      <c r="C785" s="1210"/>
      <c r="D785" s="939"/>
      <c r="E785" s="1211" t="str">
        <f t="shared" si="98"/>
        <v xml:space="preserve"> </v>
      </c>
      <c r="G785" s="1212" t="str">
        <f t="shared" si="99"/>
        <v xml:space="preserve"> </v>
      </c>
      <c r="H785" s="1201"/>
      <c r="I785">
        <f t="shared" si="96"/>
        <v>0</v>
      </c>
      <c r="K785">
        <f t="shared" si="97"/>
        <v>0</v>
      </c>
      <c r="L785" s="1213"/>
      <c r="N785" s="1214" t="str">
        <f t="shared" si="100"/>
        <v xml:space="preserve"> </v>
      </c>
      <c r="O785" s="1215" t="str">
        <f t="shared" si="101"/>
        <v xml:space="preserve"> </v>
      </c>
      <c r="Q785">
        <f t="shared" si="102"/>
        <v>0</v>
      </c>
      <c r="R785">
        <f t="shared" si="103"/>
        <v>0</v>
      </c>
    </row>
    <row r="786" spans="2:18" x14ac:dyDescent="0.2">
      <c r="B786" s="1209"/>
      <c r="C786" s="1210"/>
      <c r="D786" s="939"/>
      <c r="E786" s="1211" t="str">
        <f t="shared" si="98"/>
        <v xml:space="preserve"> </v>
      </c>
      <c r="G786" s="1212" t="str">
        <f t="shared" si="99"/>
        <v xml:space="preserve"> </v>
      </c>
      <c r="H786" s="1201"/>
      <c r="I786">
        <f t="shared" si="96"/>
        <v>0</v>
      </c>
      <c r="K786">
        <f t="shared" si="97"/>
        <v>0</v>
      </c>
      <c r="L786" s="1213"/>
      <c r="N786" s="1214" t="str">
        <f t="shared" si="100"/>
        <v xml:space="preserve"> </v>
      </c>
      <c r="O786" s="1215" t="str">
        <f t="shared" si="101"/>
        <v xml:space="preserve"> </v>
      </c>
      <c r="Q786">
        <f t="shared" si="102"/>
        <v>0</v>
      </c>
      <c r="R786">
        <f t="shared" si="103"/>
        <v>0</v>
      </c>
    </row>
    <row r="787" spans="2:18" x14ac:dyDescent="0.2">
      <c r="B787" s="1209"/>
      <c r="C787" s="1210"/>
      <c r="D787" s="939"/>
      <c r="E787" s="1211" t="str">
        <f t="shared" si="98"/>
        <v xml:space="preserve"> </v>
      </c>
      <c r="G787" s="1212" t="str">
        <f t="shared" si="99"/>
        <v xml:space="preserve"> </v>
      </c>
      <c r="H787" s="1201"/>
      <c r="I787">
        <f t="shared" si="96"/>
        <v>0</v>
      </c>
      <c r="K787">
        <f t="shared" si="97"/>
        <v>0</v>
      </c>
      <c r="L787" s="1213"/>
      <c r="N787" s="1214" t="str">
        <f t="shared" si="100"/>
        <v xml:space="preserve"> </v>
      </c>
      <c r="O787" s="1215" t="str">
        <f t="shared" si="101"/>
        <v xml:space="preserve"> </v>
      </c>
      <c r="Q787">
        <f t="shared" si="102"/>
        <v>0</v>
      </c>
      <c r="R787">
        <f t="shared" si="103"/>
        <v>0</v>
      </c>
    </row>
    <row r="788" spans="2:18" x14ac:dyDescent="0.2">
      <c r="B788" s="1209"/>
      <c r="C788" s="1210"/>
      <c r="D788" s="939"/>
      <c r="E788" s="1211" t="str">
        <f t="shared" si="98"/>
        <v xml:space="preserve"> </v>
      </c>
      <c r="G788" s="1212" t="str">
        <f t="shared" si="99"/>
        <v xml:space="preserve"> </v>
      </c>
      <c r="H788" s="1201"/>
      <c r="I788">
        <f t="shared" si="96"/>
        <v>0</v>
      </c>
      <c r="K788">
        <f t="shared" si="97"/>
        <v>0</v>
      </c>
      <c r="L788" s="1213"/>
      <c r="N788" s="1214" t="str">
        <f t="shared" si="100"/>
        <v xml:space="preserve"> </v>
      </c>
      <c r="O788" s="1215" t="str">
        <f t="shared" si="101"/>
        <v xml:space="preserve"> </v>
      </c>
      <c r="Q788">
        <f t="shared" si="102"/>
        <v>0</v>
      </c>
      <c r="R788">
        <f t="shared" si="103"/>
        <v>0</v>
      </c>
    </row>
    <row r="789" spans="2:18" x14ac:dyDescent="0.2">
      <c r="B789" s="1209"/>
      <c r="C789" s="1210"/>
      <c r="D789" s="939"/>
      <c r="E789" s="1211" t="str">
        <f t="shared" si="98"/>
        <v xml:space="preserve"> </v>
      </c>
      <c r="G789" s="1212" t="str">
        <f t="shared" si="99"/>
        <v xml:space="preserve"> </v>
      </c>
      <c r="H789" s="1201"/>
      <c r="I789">
        <f t="shared" si="96"/>
        <v>0</v>
      </c>
      <c r="K789">
        <f t="shared" si="97"/>
        <v>0</v>
      </c>
      <c r="L789" s="1213"/>
      <c r="N789" s="1214" t="str">
        <f t="shared" si="100"/>
        <v xml:space="preserve"> </v>
      </c>
      <c r="O789" s="1215" t="str">
        <f t="shared" si="101"/>
        <v xml:space="preserve"> </v>
      </c>
      <c r="Q789">
        <f t="shared" si="102"/>
        <v>0</v>
      </c>
      <c r="R789">
        <f t="shared" si="103"/>
        <v>0</v>
      </c>
    </row>
    <row r="790" spans="2:18" x14ac:dyDescent="0.2">
      <c r="B790" s="1209"/>
      <c r="C790" s="1210"/>
      <c r="D790" s="939"/>
      <c r="E790" s="1211" t="str">
        <f t="shared" si="98"/>
        <v xml:space="preserve"> </v>
      </c>
      <c r="G790" s="1212" t="str">
        <f t="shared" si="99"/>
        <v xml:space="preserve"> </v>
      </c>
      <c r="H790" s="1201"/>
      <c r="I790">
        <f t="shared" si="96"/>
        <v>0</v>
      </c>
      <c r="K790">
        <f t="shared" si="97"/>
        <v>0</v>
      </c>
      <c r="L790" s="1213"/>
      <c r="N790" s="1214" t="str">
        <f t="shared" si="100"/>
        <v xml:space="preserve"> </v>
      </c>
      <c r="O790" s="1215" t="str">
        <f t="shared" si="101"/>
        <v xml:space="preserve"> </v>
      </c>
      <c r="Q790">
        <f t="shared" si="102"/>
        <v>0</v>
      </c>
      <c r="R790">
        <f t="shared" si="103"/>
        <v>0</v>
      </c>
    </row>
    <row r="791" spans="2:18" x14ac:dyDescent="0.2">
      <c r="B791" s="1209"/>
      <c r="C791" s="1210"/>
      <c r="D791" s="939"/>
      <c r="E791" s="1211" t="str">
        <f t="shared" si="98"/>
        <v xml:space="preserve"> </v>
      </c>
      <c r="G791" s="1212" t="str">
        <f t="shared" si="99"/>
        <v xml:space="preserve"> </v>
      </c>
      <c r="H791" s="1201"/>
      <c r="I791">
        <f t="shared" si="96"/>
        <v>0</v>
      </c>
      <c r="K791">
        <f t="shared" si="97"/>
        <v>0</v>
      </c>
      <c r="L791" s="1213"/>
      <c r="N791" s="1214" t="str">
        <f t="shared" si="100"/>
        <v xml:space="preserve"> </v>
      </c>
      <c r="O791" s="1215" t="str">
        <f t="shared" si="101"/>
        <v xml:space="preserve"> </v>
      </c>
      <c r="Q791">
        <f t="shared" si="102"/>
        <v>0</v>
      </c>
      <c r="R791">
        <f t="shared" si="103"/>
        <v>0</v>
      </c>
    </row>
    <row r="792" spans="2:18" x14ac:dyDescent="0.2">
      <c r="B792" s="1209"/>
      <c r="C792" s="1210"/>
      <c r="D792" s="939"/>
      <c r="E792" s="1211" t="str">
        <f t="shared" si="98"/>
        <v xml:space="preserve"> </v>
      </c>
      <c r="G792" s="1212" t="str">
        <f t="shared" si="99"/>
        <v xml:space="preserve"> </v>
      </c>
      <c r="H792" s="1201"/>
      <c r="I792">
        <f t="shared" si="96"/>
        <v>0</v>
      </c>
      <c r="K792">
        <f t="shared" si="97"/>
        <v>0</v>
      </c>
      <c r="L792" s="1213"/>
      <c r="N792" s="1214" t="str">
        <f t="shared" si="100"/>
        <v xml:space="preserve"> </v>
      </c>
      <c r="O792" s="1215" t="str">
        <f t="shared" si="101"/>
        <v xml:space="preserve"> </v>
      </c>
      <c r="Q792">
        <f t="shared" si="102"/>
        <v>0</v>
      </c>
      <c r="R792">
        <f t="shared" si="103"/>
        <v>0</v>
      </c>
    </row>
    <row r="793" spans="2:18" x14ac:dyDescent="0.2">
      <c r="B793" s="1209"/>
      <c r="C793" s="1210"/>
      <c r="D793" s="939"/>
      <c r="E793" s="1211" t="str">
        <f t="shared" si="98"/>
        <v xml:space="preserve"> </v>
      </c>
      <c r="G793" s="1212" t="str">
        <f t="shared" si="99"/>
        <v xml:space="preserve"> </v>
      </c>
      <c r="H793" s="1201"/>
      <c r="I793">
        <f t="shared" si="96"/>
        <v>0</v>
      </c>
      <c r="K793">
        <f t="shared" si="97"/>
        <v>0</v>
      </c>
      <c r="L793" s="1213"/>
      <c r="N793" s="1214" t="str">
        <f t="shared" si="100"/>
        <v xml:space="preserve"> </v>
      </c>
      <c r="O793" s="1215" t="str">
        <f t="shared" si="101"/>
        <v xml:space="preserve"> </v>
      </c>
      <c r="Q793">
        <f t="shared" si="102"/>
        <v>0</v>
      </c>
      <c r="R793">
        <f t="shared" si="103"/>
        <v>0</v>
      </c>
    </row>
    <row r="794" spans="2:18" x14ac:dyDescent="0.2">
      <c r="B794" s="1209"/>
      <c r="C794" s="1210"/>
      <c r="D794" s="939"/>
      <c r="E794" s="1211" t="str">
        <f t="shared" si="98"/>
        <v xml:space="preserve"> </v>
      </c>
      <c r="G794" s="1212" t="str">
        <f t="shared" si="99"/>
        <v xml:space="preserve"> </v>
      </c>
      <c r="H794" s="1201"/>
      <c r="I794">
        <f t="shared" si="96"/>
        <v>0</v>
      </c>
      <c r="K794">
        <f t="shared" si="97"/>
        <v>0</v>
      </c>
      <c r="L794" s="1213"/>
      <c r="N794" s="1214" t="str">
        <f t="shared" si="100"/>
        <v xml:space="preserve"> </v>
      </c>
      <c r="O794" s="1215" t="str">
        <f t="shared" si="101"/>
        <v xml:space="preserve"> </v>
      </c>
      <c r="Q794">
        <f t="shared" si="102"/>
        <v>0</v>
      </c>
      <c r="R794">
        <f t="shared" si="103"/>
        <v>0</v>
      </c>
    </row>
    <row r="795" spans="2:18" x14ac:dyDescent="0.2">
      <c r="B795" s="1209"/>
      <c r="C795" s="1210"/>
      <c r="D795" s="939"/>
      <c r="E795" s="1211" t="str">
        <f t="shared" si="98"/>
        <v xml:space="preserve"> </v>
      </c>
      <c r="G795" s="1212" t="str">
        <f t="shared" si="99"/>
        <v xml:space="preserve"> </v>
      </c>
      <c r="H795" s="1201"/>
      <c r="I795">
        <f t="shared" si="96"/>
        <v>0</v>
      </c>
      <c r="K795">
        <f t="shared" si="97"/>
        <v>0</v>
      </c>
      <c r="L795" s="1213"/>
      <c r="N795" s="1214" t="str">
        <f t="shared" si="100"/>
        <v xml:space="preserve"> </v>
      </c>
      <c r="O795" s="1215" t="str">
        <f t="shared" si="101"/>
        <v xml:space="preserve"> </v>
      </c>
      <c r="Q795">
        <f t="shared" si="102"/>
        <v>0</v>
      </c>
      <c r="R795">
        <f t="shared" si="103"/>
        <v>0</v>
      </c>
    </row>
    <row r="796" spans="2:18" x14ac:dyDescent="0.2">
      <c r="B796" s="1209"/>
      <c r="C796" s="1210"/>
      <c r="D796" s="939"/>
      <c r="E796" s="1211" t="str">
        <f t="shared" si="98"/>
        <v xml:space="preserve"> </v>
      </c>
      <c r="G796" s="1212" t="str">
        <f t="shared" si="99"/>
        <v xml:space="preserve"> </v>
      </c>
      <c r="H796" s="1201"/>
      <c r="I796">
        <f t="shared" si="96"/>
        <v>0</v>
      </c>
      <c r="K796">
        <f t="shared" si="97"/>
        <v>0</v>
      </c>
      <c r="L796" s="1213"/>
      <c r="N796" s="1214" t="str">
        <f t="shared" si="100"/>
        <v xml:space="preserve"> </v>
      </c>
      <c r="O796" s="1215" t="str">
        <f t="shared" si="101"/>
        <v xml:space="preserve"> </v>
      </c>
      <c r="Q796">
        <f t="shared" si="102"/>
        <v>0</v>
      </c>
      <c r="R796">
        <f t="shared" si="103"/>
        <v>0</v>
      </c>
    </row>
    <row r="797" spans="2:18" x14ac:dyDescent="0.2">
      <c r="B797" s="1209"/>
      <c r="C797" s="1210"/>
      <c r="D797" s="939"/>
      <c r="E797" s="1211" t="str">
        <f t="shared" si="98"/>
        <v xml:space="preserve"> </v>
      </c>
      <c r="G797" s="1212" t="str">
        <f t="shared" si="99"/>
        <v xml:space="preserve"> </v>
      </c>
      <c r="H797" s="1201"/>
      <c r="I797">
        <f t="shared" si="96"/>
        <v>0</v>
      </c>
      <c r="K797">
        <f t="shared" si="97"/>
        <v>0</v>
      </c>
      <c r="L797" s="1213"/>
      <c r="N797" s="1214" t="str">
        <f t="shared" si="100"/>
        <v xml:space="preserve"> </v>
      </c>
      <c r="O797" s="1215" t="str">
        <f t="shared" si="101"/>
        <v xml:space="preserve"> </v>
      </c>
      <c r="Q797">
        <f t="shared" si="102"/>
        <v>0</v>
      </c>
      <c r="R797">
        <f t="shared" si="103"/>
        <v>0</v>
      </c>
    </row>
    <row r="798" spans="2:18" x14ac:dyDescent="0.2">
      <c r="B798" s="1209"/>
      <c r="C798" s="1210"/>
      <c r="D798" s="939"/>
      <c r="E798" s="1211" t="str">
        <f t="shared" si="98"/>
        <v xml:space="preserve"> </v>
      </c>
      <c r="G798" s="1212" t="str">
        <f t="shared" si="99"/>
        <v xml:space="preserve"> </v>
      </c>
      <c r="H798" s="1201"/>
      <c r="I798">
        <f t="shared" si="96"/>
        <v>0</v>
      </c>
      <c r="K798">
        <f t="shared" si="97"/>
        <v>0</v>
      </c>
      <c r="L798" s="1213"/>
      <c r="N798" s="1214" t="str">
        <f t="shared" si="100"/>
        <v xml:space="preserve"> </v>
      </c>
      <c r="O798" s="1215" t="str">
        <f t="shared" si="101"/>
        <v xml:space="preserve"> </v>
      </c>
      <c r="Q798">
        <f t="shared" si="102"/>
        <v>0</v>
      </c>
      <c r="R798">
        <f t="shared" si="103"/>
        <v>0</v>
      </c>
    </row>
    <row r="799" spans="2:18" x14ac:dyDescent="0.2">
      <c r="B799" s="1209"/>
      <c r="C799" s="1210"/>
      <c r="D799" s="939"/>
      <c r="E799" s="1211" t="str">
        <f t="shared" si="98"/>
        <v xml:space="preserve"> </v>
      </c>
      <c r="G799" s="1212" t="str">
        <f t="shared" si="99"/>
        <v xml:space="preserve"> </v>
      </c>
      <c r="H799" s="1201"/>
      <c r="I799">
        <f t="shared" si="96"/>
        <v>0</v>
      </c>
      <c r="K799">
        <f t="shared" si="97"/>
        <v>0</v>
      </c>
      <c r="L799" s="1213"/>
      <c r="N799" s="1214" t="str">
        <f t="shared" si="100"/>
        <v xml:space="preserve"> </v>
      </c>
      <c r="O799" s="1215" t="str">
        <f t="shared" si="101"/>
        <v xml:space="preserve"> </v>
      </c>
      <c r="Q799">
        <f t="shared" si="102"/>
        <v>0</v>
      </c>
      <c r="R799">
        <f t="shared" si="103"/>
        <v>0</v>
      </c>
    </row>
    <row r="800" spans="2:18" x14ac:dyDescent="0.2">
      <c r="B800" s="1209"/>
      <c r="C800" s="1210"/>
      <c r="D800" s="939"/>
      <c r="E800" s="1211" t="str">
        <f t="shared" si="98"/>
        <v xml:space="preserve"> </v>
      </c>
      <c r="G800" s="1212" t="str">
        <f t="shared" si="99"/>
        <v xml:space="preserve"> </v>
      </c>
      <c r="H800" s="1201"/>
      <c r="I800">
        <f t="shared" si="96"/>
        <v>0</v>
      </c>
      <c r="K800">
        <f t="shared" si="97"/>
        <v>0</v>
      </c>
      <c r="L800" s="1213"/>
      <c r="N800" s="1214" t="str">
        <f t="shared" si="100"/>
        <v xml:space="preserve"> </v>
      </c>
      <c r="O800" s="1215" t="str">
        <f t="shared" si="101"/>
        <v xml:space="preserve"> </v>
      </c>
      <c r="Q800">
        <f t="shared" si="102"/>
        <v>0</v>
      </c>
      <c r="R800">
        <f t="shared" si="103"/>
        <v>0</v>
      </c>
    </row>
    <row r="801" spans="2:18" x14ac:dyDescent="0.2">
      <c r="B801" s="1209"/>
      <c r="C801" s="1210"/>
      <c r="D801" s="939"/>
      <c r="E801" s="1211" t="str">
        <f t="shared" si="98"/>
        <v xml:space="preserve"> </v>
      </c>
      <c r="G801" s="1212" t="str">
        <f t="shared" si="99"/>
        <v xml:space="preserve"> </v>
      </c>
      <c r="H801" s="1201"/>
      <c r="I801">
        <f t="shared" si="96"/>
        <v>0</v>
      </c>
      <c r="K801">
        <f t="shared" si="97"/>
        <v>0</v>
      </c>
      <c r="L801" s="1213"/>
      <c r="N801" s="1214" t="str">
        <f t="shared" si="100"/>
        <v xml:space="preserve"> </v>
      </c>
      <c r="O801" s="1215" t="str">
        <f t="shared" si="101"/>
        <v xml:space="preserve"> </v>
      </c>
      <c r="Q801">
        <f t="shared" si="102"/>
        <v>0</v>
      </c>
      <c r="R801">
        <f t="shared" si="103"/>
        <v>0</v>
      </c>
    </row>
    <row r="802" spans="2:18" x14ac:dyDescent="0.2">
      <c r="B802" s="1209"/>
      <c r="C802" s="1210"/>
      <c r="D802" s="939"/>
      <c r="E802" s="1211" t="str">
        <f t="shared" si="98"/>
        <v xml:space="preserve"> </v>
      </c>
      <c r="G802" s="1212" t="str">
        <f t="shared" si="99"/>
        <v xml:space="preserve"> </v>
      </c>
      <c r="H802" s="1201"/>
      <c r="I802">
        <f t="shared" si="96"/>
        <v>0</v>
      </c>
      <c r="K802">
        <f t="shared" si="97"/>
        <v>0</v>
      </c>
      <c r="L802" s="1213"/>
      <c r="N802" s="1214" t="str">
        <f t="shared" si="100"/>
        <v xml:space="preserve"> </v>
      </c>
      <c r="O802" s="1215" t="str">
        <f t="shared" si="101"/>
        <v xml:space="preserve"> </v>
      </c>
      <c r="Q802">
        <f t="shared" si="102"/>
        <v>0</v>
      </c>
      <c r="R802">
        <f t="shared" si="103"/>
        <v>0</v>
      </c>
    </row>
    <row r="803" spans="2:18" x14ac:dyDescent="0.2">
      <c r="B803" s="1209"/>
      <c r="C803" s="1210"/>
      <c r="D803" s="939"/>
      <c r="E803" s="1211" t="str">
        <f t="shared" si="98"/>
        <v xml:space="preserve"> </v>
      </c>
      <c r="G803" s="1212" t="str">
        <f t="shared" si="99"/>
        <v xml:space="preserve"> </v>
      </c>
      <c r="H803" s="1201"/>
      <c r="I803">
        <f t="shared" si="96"/>
        <v>0</v>
      </c>
      <c r="K803">
        <f t="shared" si="97"/>
        <v>0</v>
      </c>
      <c r="L803" s="1213"/>
      <c r="N803" s="1214" t="str">
        <f t="shared" si="100"/>
        <v xml:space="preserve"> </v>
      </c>
      <c r="O803" s="1215" t="str">
        <f t="shared" si="101"/>
        <v xml:space="preserve"> </v>
      </c>
      <c r="Q803">
        <f t="shared" si="102"/>
        <v>0</v>
      </c>
      <c r="R803">
        <f t="shared" si="103"/>
        <v>0</v>
      </c>
    </row>
    <row r="804" spans="2:18" x14ac:dyDescent="0.2">
      <c r="B804" s="1209"/>
      <c r="C804" s="1210"/>
      <c r="D804" s="939"/>
      <c r="E804" s="1211" t="str">
        <f t="shared" si="98"/>
        <v xml:space="preserve"> </v>
      </c>
      <c r="G804" s="1212" t="str">
        <f t="shared" si="99"/>
        <v xml:space="preserve"> </v>
      </c>
      <c r="H804" s="1201"/>
      <c r="I804">
        <f t="shared" si="96"/>
        <v>0</v>
      </c>
      <c r="K804">
        <f t="shared" si="97"/>
        <v>0</v>
      </c>
      <c r="L804" s="1213"/>
      <c r="N804" s="1214" t="str">
        <f t="shared" si="100"/>
        <v xml:space="preserve"> </v>
      </c>
      <c r="O804" s="1215" t="str">
        <f t="shared" si="101"/>
        <v xml:space="preserve"> </v>
      </c>
      <c r="Q804">
        <f t="shared" si="102"/>
        <v>0</v>
      </c>
      <c r="R804">
        <f t="shared" si="103"/>
        <v>0</v>
      </c>
    </row>
    <row r="805" spans="2:18" x14ac:dyDescent="0.2">
      <c r="B805" s="1209"/>
      <c r="C805" s="1210"/>
      <c r="D805" s="939"/>
      <c r="E805" s="1211" t="str">
        <f t="shared" si="98"/>
        <v xml:space="preserve"> </v>
      </c>
      <c r="G805" s="1212" t="str">
        <f t="shared" si="99"/>
        <v xml:space="preserve"> </v>
      </c>
      <c r="H805" s="1201"/>
      <c r="I805">
        <f t="shared" si="96"/>
        <v>0</v>
      </c>
      <c r="K805">
        <f t="shared" si="97"/>
        <v>0</v>
      </c>
      <c r="L805" s="1213"/>
      <c r="N805" s="1214" t="str">
        <f t="shared" si="100"/>
        <v xml:space="preserve"> </v>
      </c>
      <c r="O805" s="1215" t="str">
        <f t="shared" si="101"/>
        <v xml:space="preserve"> </v>
      </c>
      <c r="Q805">
        <f t="shared" si="102"/>
        <v>0</v>
      </c>
      <c r="R805">
        <f t="shared" si="103"/>
        <v>0</v>
      </c>
    </row>
    <row r="806" spans="2:18" x14ac:dyDescent="0.2">
      <c r="B806" s="1209"/>
      <c r="C806" s="1210"/>
      <c r="D806" s="939"/>
      <c r="E806" s="1211" t="str">
        <f t="shared" si="98"/>
        <v xml:space="preserve"> </v>
      </c>
      <c r="G806" s="1212" t="str">
        <f t="shared" si="99"/>
        <v xml:space="preserve"> </v>
      </c>
      <c r="H806" s="1201"/>
      <c r="I806">
        <f t="shared" si="96"/>
        <v>0</v>
      </c>
      <c r="K806">
        <f t="shared" si="97"/>
        <v>0</v>
      </c>
      <c r="L806" s="1213"/>
      <c r="N806" s="1214" t="str">
        <f t="shared" si="100"/>
        <v xml:space="preserve"> </v>
      </c>
      <c r="O806" s="1215" t="str">
        <f t="shared" si="101"/>
        <v xml:space="preserve"> </v>
      </c>
      <c r="Q806">
        <f t="shared" si="102"/>
        <v>0</v>
      </c>
      <c r="R806">
        <f t="shared" si="103"/>
        <v>0</v>
      </c>
    </row>
    <row r="807" spans="2:18" x14ac:dyDescent="0.2">
      <c r="B807" s="1209"/>
      <c r="C807" s="1210"/>
      <c r="D807" s="939"/>
      <c r="E807" s="1211" t="str">
        <f t="shared" si="98"/>
        <v xml:space="preserve"> </v>
      </c>
      <c r="G807" s="1212" t="str">
        <f t="shared" si="99"/>
        <v xml:space="preserve"> </v>
      </c>
      <c r="H807" s="1201"/>
      <c r="I807">
        <f t="shared" si="96"/>
        <v>0</v>
      </c>
      <c r="K807">
        <f t="shared" si="97"/>
        <v>0</v>
      </c>
      <c r="L807" s="1213"/>
      <c r="N807" s="1214" t="str">
        <f t="shared" si="100"/>
        <v xml:space="preserve"> </v>
      </c>
      <c r="O807" s="1215" t="str">
        <f t="shared" si="101"/>
        <v xml:space="preserve"> </v>
      </c>
      <c r="Q807">
        <f t="shared" si="102"/>
        <v>0</v>
      </c>
      <c r="R807">
        <f t="shared" si="103"/>
        <v>0</v>
      </c>
    </row>
    <row r="808" spans="2:18" x14ac:dyDescent="0.2">
      <c r="B808" s="1209"/>
      <c r="C808" s="1210"/>
      <c r="D808" s="939"/>
      <c r="E808" s="1211" t="str">
        <f t="shared" si="98"/>
        <v xml:space="preserve"> </v>
      </c>
      <c r="G808" s="1212" t="str">
        <f t="shared" si="99"/>
        <v xml:space="preserve"> </v>
      </c>
      <c r="H808" s="1201"/>
      <c r="I808">
        <f t="shared" si="96"/>
        <v>0</v>
      </c>
      <c r="K808">
        <f t="shared" si="97"/>
        <v>0</v>
      </c>
      <c r="L808" s="1213"/>
      <c r="N808" s="1214" t="str">
        <f t="shared" si="100"/>
        <v xml:space="preserve"> </v>
      </c>
      <c r="O808" s="1215" t="str">
        <f t="shared" si="101"/>
        <v xml:space="preserve"> </v>
      </c>
      <c r="Q808">
        <f t="shared" si="102"/>
        <v>0</v>
      </c>
      <c r="R808">
        <f t="shared" si="103"/>
        <v>0</v>
      </c>
    </row>
    <row r="809" spans="2:18" x14ac:dyDescent="0.2">
      <c r="B809" s="1209"/>
      <c r="C809" s="1210"/>
      <c r="D809" s="939"/>
      <c r="E809" s="1211" t="str">
        <f t="shared" si="98"/>
        <v xml:space="preserve"> </v>
      </c>
      <c r="G809" s="1212" t="str">
        <f t="shared" si="99"/>
        <v xml:space="preserve"> </v>
      </c>
      <c r="H809" s="1201"/>
      <c r="I809">
        <f t="shared" si="96"/>
        <v>0</v>
      </c>
      <c r="K809">
        <f t="shared" si="97"/>
        <v>0</v>
      </c>
      <c r="L809" s="1213"/>
      <c r="N809" s="1214" t="str">
        <f t="shared" si="100"/>
        <v xml:space="preserve"> </v>
      </c>
      <c r="O809" s="1215" t="str">
        <f t="shared" si="101"/>
        <v xml:space="preserve"> </v>
      </c>
      <c r="Q809">
        <f t="shared" si="102"/>
        <v>0</v>
      </c>
      <c r="R809">
        <f t="shared" si="103"/>
        <v>0</v>
      </c>
    </row>
    <row r="810" spans="2:18" x14ac:dyDescent="0.2">
      <c r="B810" s="1209"/>
      <c r="C810" s="1210"/>
      <c r="D810" s="939"/>
      <c r="E810" s="1211" t="str">
        <f t="shared" si="98"/>
        <v xml:space="preserve"> </v>
      </c>
      <c r="G810" s="1212" t="str">
        <f t="shared" si="99"/>
        <v xml:space="preserve"> </v>
      </c>
      <c r="H810" s="1201"/>
      <c r="I810">
        <f t="shared" si="96"/>
        <v>0</v>
      </c>
      <c r="K810">
        <f t="shared" si="97"/>
        <v>0</v>
      </c>
      <c r="L810" s="1213"/>
      <c r="N810" s="1214" t="str">
        <f t="shared" si="100"/>
        <v xml:space="preserve"> </v>
      </c>
      <c r="O810" s="1215" t="str">
        <f t="shared" si="101"/>
        <v xml:space="preserve"> </v>
      </c>
      <c r="Q810">
        <f t="shared" si="102"/>
        <v>0</v>
      </c>
      <c r="R810">
        <f t="shared" si="103"/>
        <v>0</v>
      </c>
    </row>
    <row r="811" spans="2:18" x14ac:dyDescent="0.2">
      <c r="B811" s="1209"/>
      <c r="C811" s="1210"/>
      <c r="D811" s="939"/>
      <c r="E811" s="1211" t="str">
        <f t="shared" si="98"/>
        <v xml:space="preserve"> </v>
      </c>
      <c r="G811" s="1212" t="str">
        <f t="shared" si="99"/>
        <v xml:space="preserve"> </v>
      </c>
      <c r="H811" s="1201"/>
      <c r="I811">
        <f t="shared" si="96"/>
        <v>0</v>
      </c>
      <c r="K811">
        <f t="shared" si="97"/>
        <v>0</v>
      </c>
      <c r="L811" s="1213"/>
      <c r="N811" s="1214" t="str">
        <f t="shared" si="100"/>
        <v xml:space="preserve"> </v>
      </c>
      <c r="O811" s="1215" t="str">
        <f t="shared" si="101"/>
        <v xml:space="preserve"> </v>
      </c>
      <c r="Q811">
        <f t="shared" si="102"/>
        <v>0</v>
      </c>
      <c r="R811">
        <f t="shared" si="103"/>
        <v>0</v>
      </c>
    </row>
    <row r="812" spans="2:18" x14ac:dyDescent="0.2">
      <c r="B812" s="1209"/>
      <c r="C812" s="1210"/>
      <c r="D812" s="939"/>
      <c r="E812" s="1211" t="str">
        <f t="shared" si="98"/>
        <v xml:space="preserve"> </v>
      </c>
      <c r="G812" s="1212" t="str">
        <f t="shared" si="99"/>
        <v xml:space="preserve"> </v>
      </c>
      <c r="H812" s="1201"/>
      <c r="I812">
        <f t="shared" si="96"/>
        <v>0</v>
      </c>
      <c r="K812">
        <f t="shared" si="97"/>
        <v>0</v>
      </c>
      <c r="L812" s="1213"/>
      <c r="N812" s="1214" t="str">
        <f t="shared" si="100"/>
        <v xml:space="preserve"> </v>
      </c>
      <c r="O812" s="1215" t="str">
        <f t="shared" si="101"/>
        <v xml:space="preserve"> </v>
      </c>
      <c r="Q812">
        <f t="shared" si="102"/>
        <v>0</v>
      </c>
      <c r="R812">
        <f t="shared" si="103"/>
        <v>0</v>
      </c>
    </row>
    <row r="813" spans="2:18" x14ac:dyDescent="0.2">
      <c r="B813" s="1209"/>
      <c r="C813" s="1210"/>
      <c r="D813" s="939"/>
      <c r="E813" s="1211" t="str">
        <f t="shared" si="98"/>
        <v xml:space="preserve"> </v>
      </c>
      <c r="G813" s="1212" t="str">
        <f t="shared" si="99"/>
        <v xml:space="preserve"> </v>
      </c>
      <c r="H813" s="1201"/>
      <c r="I813">
        <f t="shared" si="96"/>
        <v>0</v>
      </c>
      <c r="K813">
        <f t="shared" si="97"/>
        <v>0</v>
      </c>
      <c r="L813" s="1213"/>
      <c r="N813" s="1214" t="str">
        <f t="shared" si="100"/>
        <v xml:space="preserve"> </v>
      </c>
      <c r="O813" s="1215" t="str">
        <f t="shared" si="101"/>
        <v xml:space="preserve"> </v>
      </c>
      <c r="Q813">
        <f t="shared" si="102"/>
        <v>0</v>
      </c>
      <c r="R813">
        <f t="shared" si="103"/>
        <v>0</v>
      </c>
    </row>
    <row r="814" spans="2:18" x14ac:dyDescent="0.2">
      <c r="B814" s="1209"/>
      <c r="C814" s="1210"/>
      <c r="D814" s="939"/>
      <c r="E814" s="1211" t="str">
        <f t="shared" si="98"/>
        <v xml:space="preserve"> </v>
      </c>
      <c r="G814" s="1212" t="str">
        <f t="shared" si="99"/>
        <v xml:space="preserve"> </v>
      </c>
      <c r="H814" s="1201"/>
      <c r="I814">
        <f t="shared" si="96"/>
        <v>0</v>
      </c>
      <c r="K814">
        <f t="shared" si="97"/>
        <v>0</v>
      </c>
      <c r="L814" s="1213"/>
      <c r="N814" s="1214" t="str">
        <f t="shared" si="100"/>
        <v xml:space="preserve"> </v>
      </c>
      <c r="O814" s="1215" t="str">
        <f t="shared" si="101"/>
        <v xml:space="preserve"> </v>
      </c>
      <c r="Q814">
        <f t="shared" si="102"/>
        <v>0</v>
      </c>
      <c r="R814">
        <f t="shared" si="103"/>
        <v>0</v>
      </c>
    </row>
    <row r="815" spans="2:18" x14ac:dyDescent="0.2">
      <c r="B815" s="1209"/>
      <c r="C815" s="1210"/>
      <c r="D815" s="939"/>
      <c r="E815" s="1211" t="str">
        <f t="shared" si="98"/>
        <v xml:space="preserve"> </v>
      </c>
      <c r="G815" s="1212" t="str">
        <f t="shared" si="99"/>
        <v xml:space="preserve"> </v>
      </c>
      <c r="H815" s="1201"/>
      <c r="I815">
        <f t="shared" si="96"/>
        <v>0</v>
      </c>
      <c r="K815">
        <f t="shared" si="97"/>
        <v>0</v>
      </c>
      <c r="L815" s="1213"/>
      <c r="N815" s="1214" t="str">
        <f t="shared" si="100"/>
        <v xml:space="preserve"> </v>
      </c>
      <c r="O815" s="1215" t="str">
        <f t="shared" si="101"/>
        <v xml:space="preserve"> </v>
      </c>
      <c r="Q815">
        <f t="shared" si="102"/>
        <v>0</v>
      </c>
      <c r="R815">
        <f t="shared" si="103"/>
        <v>0</v>
      </c>
    </row>
    <row r="816" spans="2:18" x14ac:dyDescent="0.2">
      <c r="B816" s="1209"/>
      <c r="C816" s="1210"/>
      <c r="D816" s="939"/>
      <c r="E816" s="1211" t="str">
        <f t="shared" si="98"/>
        <v xml:space="preserve"> </v>
      </c>
      <c r="G816" s="1212" t="str">
        <f t="shared" si="99"/>
        <v xml:space="preserve"> </v>
      </c>
      <c r="H816" s="1201"/>
      <c r="I816">
        <f t="shared" si="96"/>
        <v>0</v>
      </c>
      <c r="K816">
        <f t="shared" si="97"/>
        <v>0</v>
      </c>
      <c r="L816" s="1213"/>
      <c r="N816" s="1214" t="str">
        <f t="shared" si="100"/>
        <v xml:space="preserve"> </v>
      </c>
      <c r="O816" s="1215" t="str">
        <f t="shared" si="101"/>
        <v xml:space="preserve"> </v>
      </c>
      <c r="Q816">
        <f t="shared" si="102"/>
        <v>0</v>
      </c>
      <c r="R816">
        <f t="shared" si="103"/>
        <v>0</v>
      </c>
    </row>
    <row r="817" spans="2:18" x14ac:dyDescent="0.2">
      <c r="B817" s="1209"/>
      <c r="C817" s="1210"/>
      <c r="D817" s="939"/>
      <c r="E817" s="1211" t="str">
        <f t="shared" si="98"/>
        <v xml:space="preserve"> </v>
      </c>
      <c r="G817" s="1212" t="str">
        <f t="shared" si="99"/>
        <v xml:space="preserve"> </v>
      </c>
      <c r="H817" s="1201"/>
      <c r="I817">
        <f t="shared" si="96"/>
        <v>0</v>
      </c>
      <c r="K817">
        <f t="shared" si="97"/>
        <v>0</v>
      </c>
      <c r="L817" s="1213"/>
      <c r="N817" s="1214" t="str">
        <f t="shared" si="100"/>
        <v xml:space="preserve"> </v>
      </c>
      <c r="O817" s="1215" t="str">
        <f t="shared" si="101"/>
        <v xml:space="preserve"> </v>
      </c>
      <c r="Q817">
        <f t="shared" si="102"/>
        <v>0</v>
      </c>
      <c r="R817">
        <f t="shared" si="103"/>
        <v>0</v>
      </c>
    </row>
    <row r="818" spans="2:18" x14ac:dyDescent="0.2">
      <c r="B818" s="1209"/>
      <c r="C818" s="1210"/>
      <c r="D818" s="939"/>
      <c r="E818" s="1211" t="str">
        <f t="shared" si="98"/>
        <v xml:space="preserve"> </v>
      </c>
      <c r="G818" s="1212" t="str">
        <f t="shared" si="99"/>
        <v xml:space="preserve"> </v>
      </c>
      <c r="H818" s="1201"/>
      <c r="I818">
        <f t="shared" si="96"/>
        <v>0</v>
      </c>
      <c r="K818">
        <f t="shared" si="97"/>
        <v>0</v>
      </c>
      <c r="L818" s="1213"/>
      <c r="N818" s="1214" t="str">
        <f t="shared" si="100"/>
        <v xml:space="preserve"> </v>
      </c>
      <c r="O818" s="1215" t="str">
        <f t="shared" si="101"/>
        <v xml:space="preserve"> </v>
      </c>
      <c r="Q818">
        <f t="shared" si="102"/>
        <v>0</v>
      </c>
      <c r="R818">
        <f t="shared" si="103"/>
        <v>0</v>
      </c>
    </row>
    <row r="819" spans="2:18" x14ac:dyDescent="0.2">
      <c r="B819" s="1209"/>
      <c r="C819" s="1210"/>
      <c r="D819" s="939"/>
      <c r="E819" s="1211" t="str">
        <f t="shared" si="98"/>
        <v xml:space="preserve"> </v>
      </c>
      <c r="G819" s="1212" t="str">
        <f t="shared" si="99"/>
        <v xml:space="preserve"> </v>
      </c>
      <c r="H819" s="1201"/>
      <c r="I819">
        <f t="shared" si="96"/>
        <v>0</v>
      </c>
      <c r="K819">
        <f t="shared" si="97"/>
        <v>0</v>
      </c>
      <c r="L819" s="1213"/>
      <c r="N819" s="1214" t="str">
        <f t="shared" si="100"/>
        <v xml:space="preserve"> </v>
      </c>
      <c r="O819" s="1215" t="str">
        <f t="shared" si="101"/>
        <v xml:space="preserve"> </v>
      </c>
      <c r="Q819">
        <f t="shared" si="102"/>
        <v>0</v>
      </c>
      <c r="R819">
        <f t="shared" si="103"/>
        <v>0</v>
      </c>
    </row>
    <row r="820" spans="2:18" x14ac:dyDescent="0.2">
      <c r="B820" s="1209"/>
      <c r="C820" s="1210"/>
      <c r="D820" s="939"/>
      <c r="E820" s="1211" t="str">
        <f t="shared" si="98"/>
        <v xml:space="preserve"> </v>
      </c>
      <c r="G820" s="1212" t="str">
        <f t="shared" si="99"/>
        <v xml:space="preserve"> </v>
      </c>
      <c r="H820" s="1201"/>
      <c r="I820">
        <f t="shared" si="96"/>
        <v>0</v>
      </c>
      <c r="K820">
        <f t="shared" si="97"/>
        <v>0</v>
      </c>
      <c r="L820" s="1213"/>
      <c r="N820" s="1214" t="str">
        <f t="shared" si="100"/>
        <v xml:space="preserve"> </v>
      </c>
      <c r="O820" s="1215" t="str">
        <f t="shared" si="101"/>
        <v xml:space="preserve"> </v>
      </c>
      <c r="Q820">
        <f t="shared" si="102"/>
        <v>0</v>
      </c>
      <c r="R820">
        <f t="shared" si="103"/>
        <v>0</v>
      </c>
    </row>
    <row r="821" spans="2:18" x14ac:dyDescent="0.2">
      <c r="B821" s="1209"/>
      <c r="C821" s="1210"/>
      <c r="D821" s="939"/>
      <c r="E821" s="1211" t="str">
        <f t="shared" si="98"/>
        <v xml:space="preserve"> </v>
      </c>
      <c r="G821" s="1212" t="str">
        <f t="shared" si="99"/>
        <v xml:space="preserve"> </v>
      </c>
      <c r="H821" s="1201"/>
      <c r="I821">
        <f t="shared" si="96"/>
        <v>0</v>
      </c>
      <c r="K821">
        <f t="shared" si="97"/>
        <v>0</v>
      </c>
      <c r="L821" s="1213"/>
      <c r="N821" s="1214" t="str">
        <f t="shared" si="100"/>
        <v xml:space="preserve"> </v>
      </c>
      <c r="O821" s="1215" t="str">
        <f t="shared" si="101"/>
        <v xml:space="preserve"> </v>
      </c>
      <c r="Q821">
        <f t="shared" si="102"/>
        <v>0</v>
      </c>
      <c r="R821">
        <f t="shared" si="103"/>
        <v>0</v>
      </c>
    </row>
    <row r="822" spans="2:18" x14ac:dyDescent="0.2">
      <c r="B822" s="1209"/>
      <c r="C822" s="1210"/>
      <c r="D822" s="939"/>
      <c r="E822" s="1211" t="str">
        <f t="shared" si="98"/>
        <v xml:space="preserve"> </v>
      </c>
      <c r="G822" s="1212" t="str">
        <f t="shared" si="99"/>
        <v xml:space="preserve"> </v>
      </c>
      <c r="H822" s="1201"/>
      <c r="I822">
        <f t="shared" si="96"/>
        <v>0</v>
      </c>
      <c r="K822">
        <f t="shared" si="97"/>
        <v>0</v>
      </c>
      <c r="L822" s="1213"/>
      <c r="N822" s="1214" t="str">
        <f t="shared" si="100"/>
        <v xml:space="preserve"> </v>
      </c>
      <c r="O822" s="1215" t="str">
        <f t="shared" si="101"/>
        <v xml:space="preserve"> </v>
      </c>
      <c r="Q822">
        <f t="shared" si="102"/>
        <v>0</v>
      </c>
      <c r="R822">
        <f t="shared" si="103"/>
        <v>0</v>
      </c>
    </row>
    <row r="823" spans="2:18" x14ac:dyDescent="0.2">
      <c r="B823" s="1209"/>
      <c r="C823" s="1210"/>
      <c r="D823" s="939"/>
      <c r="E823" s="1211" t="str">
        <f t="shared" si="98"/>
        <v xml:space="preserve"> </v>
      </c>
      <c r="G823" s="1212" t="str">
        <f t="shared" si="99"/>
        <v xml:space="preserve"> </v>
      </c>
      <c r="H823" s="1201"/>
      <c r="I823">
        <f t="shared" si="96"/>
        <v>0</v>
      </c>
      <c r="K823">
        <f t="shared" si="97"/>
        <v>0</v>
      </c>
      <c r="L823" s="1213"/>
      <c r="N823" s="1214" t="str">
        <f t="shared" si="100"/>
        <v xml:space="preserve"> </v>
      </c>
      <c r="O823" s="1215" t="str">
        <f t="shared" si="101"/>
        <v xml:space="preserve"> </v>
      </c>
      <c r="Q823">
        <f t="shared" si="102"/>
        <v>0</v>
      </c>
      <c r="R823">
        <f t="shared" si="103"/>
        <v>0</v>
      </c>
    </row>
    <row r="824" spans="2:18" x14ac:dyDescent="0.2">
      <c r="B824" s="1209"/>
      <c r="C824" s="1210"/>
      <c r="D824" s="939"/>
      <c r="E824" s="1211" t="str">
        <f t="shared" si="98"/>
        <v xml:space="preserve"> </v>
      </c>
      <c r="G824" s="1212" t="str">
        <f t="shared" si="99"/>
        <v xml:space="preserve"> </v>
      </c>
      <c r="H824" s="1201"/>
      <c r="I824">
        <f t="shared" si="96"/>
        <v>0</v>
      </c>
      <c r="K824">
        <f t="shared" si="97"/>
        <v>0</v>
      </c>
      <c r="L824" s="1213"/>
      <c r="N824" s="1214" t="str">
        <f t="shared" si="100"/>
        <v xml:space="preserve"> </v>
      </c>
      <c r="O824" s="1215" t="str">
        <f t="shared" si="101"/>
        <v xml:space="preserve"> </v>
      </c>
      <c r="Q824">
        <f t="shared" si="102"/>
        <v>0</v>
      </c>
      <c r="R824">
        <f t="shared" si="103"/>
        <v>0</v>
      </c>
    </row>
    <row r="825" spans="2:18" x14ac:dyDescent="0.2">
      <c r="B825" s="1209"/>
      <c r="C825" s="1210"/>
      <c r="D825" s="939"/>
      <c r="E825" s="1211" t="str">
        <f t="shared" si="98"/>
        <v xml:space="preserve"> </v>
      </c>
      <c r="G825" s="1212" t="str">
        <f t="shared" si="99"/>
        <v xml:space="preserve"> </v>
      </c>
      <c r="H825" s="1201"/>
      <c r="I825">
        <f t="shared" si="96"/>
        <v>0</v>
      </c>
      <c r="K825">
        <f t="shared" si="97"/>
        <v>0</v>
      </c>
      <c r="L825" s="1213"/>
      <c r="N825" s="1214" t="str">
        <f t="shared" si="100"/>
        <v xml:space="preserve"> </v>
      </c>
      <c r="O825" s="1215" t="str">
        <f t="shared" si="101"/>
        <v xml:space="preserve"> </v>
      </c>
      <c r="Q825">
        <f t="shared" si="102"/>
        <v>0</v>
      </c>
      <c r="R825">
        <f t="shared" si="103"/>
        <v>0</v>
      </c>
    </row>
    <row r="826" spans="2:18" x14ac:dyDescent="0.2">
      <c r="B826" s="1209"/>
      <c r="C826" s="1210"/>
      <c r="D826" s="939"/>
      <c r="E826" s="1211" t="str">
        <f t="shared" si="98"/>
        <v xml:space="preserve"> </v>
      </c>
      <c r="G826" s="1212" t="str">
        <f t="shared" si="99"/>
        <v xml:space="preserve"> </v>
      </c>
      <c r="H826" s="1201"/>
      <c r="I826">
        <f t="shared" si="96"/>
        <v>0</v>
      </c>
      <c r="K826">
        <f t="shared" si="97"/>
        <v>0</v>
      </c>
      <c r="L826" s="1213"/>
      <c r="N826" s="1214" t="str">
        <f t="shared" si="100"/>
        <v xml:space="preserve"> </v>
      </c>
      <c r="O826" s="1215" t="str">
        <f t="shared" si="101"/>
        <v xml:space="preserve"> </v>
      </c>
      <c r="Q826">
        <f t="shared" si="102"/>
        <v>0</v>
      </c>
      <c r="R826">
        <f t="shared" si="103"/>
        <v>0</v>
      </c>
    </row>
    <row r="827" spans="2:18" x14ac:dyDescent="0.2">
      <c r="B827" s="1209"/>
      <c r="C827" s="1210"/>
      <c r="D827" s="939"/>
      <c r="E827" s="1211" t="str">
        <f t="shared" si="98"/>
        <v xml:space="preserve"> </v>
      </c>
      <c r="G827" s="1212" t="str">
        <f t="shared" si="99"/>
        <v xml:space="preserve"> </v>
      </c>
      <c r="H827" s="1201"/>
      <c r="I827">
        <f t="shared" si="96"/>
        <v>0</v>
      </c>
      <c r="K827">
        <f t="shared" si="97"/>
        <v>0</v>
      </c>
      <c r="L827" s="1213"/>
      <c r="N827" s="1214" t="str">
        <f t="shared" si="100"/>
        <v xml:space="preserve"> </v>
      </c>
      <c r="O827" s="1215" t="str">
        <f t="shared" si="101"/>
        <v xml:space="preserve"> </v>
      </c>
      <c r="Q827">
        <f t="shared" si="102"/>
        <v>0</v>
      </c>
      <c r="R827">
        <f t="shared" si="103"/>
        <v>0</v>
      </c>
    </row>
    <row r="828" spans="2:18" x14ac:dyDescent="0.2">
      <c r="B828" s="1209"/>
      <c r="C828" s="1210"/>
      <c r="D828" s="939"/>
      <c r="E828" s="1211" t="str">
        <f t="shared" si="98"/>
        <v xml:space="preserve"> </v>
      </c>
      <c r="G828" s="1212" t="str">
        <f t="shared" si="99"/>
        <v xml:space="preserve"> </v>
      </c>
      <c r="H828" s="1201"/>
      <c r="I828">
        <f t="shared" si="96"/>
        <v>0</v>
      </c>
      <c r="K828">
        <f t="shared" si="97"/>
        <v>0</v>
      </c>
      <c r="L828" s="1213"/>
      <c r="N828" s="1214" t="str">
        <f t="shared" si="100"/>
        <v xml:space="preserve"> </v>
      </c>
      <c r="O828" s="1215" t="str">
        <f t="shared" si="101"/>
        <v xml:space="preserve"> </v>
      </c>
      <c r="Q828">
        <f t="shared" si="102"/>
        <v>0</v>
      </c>
      <c r="R828">
        <f t="shared" si="103"/>
        <v>0</v>
      </c>
    </row>
    <row r="829" spans="2:18" x14ac:dyDescent="0.2">
      <c r="B829" s="1209"/>
      <c r="C829" s="1210"/>
      <c r="D829" s="939"/>
      <c r="E829" s="1211" t="str">
        <f t="shared" si="98"/>
        <v xml:space="preserve"> </v>
      </c>
      <c r="G829" s="1212" t="str">
        <f t="shared" si="99"/>
        <v xml:space="preserve"> </v>
      </c>
      <c r="H829" s="1201"/>
      <c r="I829">
        <f t="shared" si="96"/>
        <v>0</v>
      </c>
      <c r="K829">
        <f t="shared" si="97"/>
        <v>0</v>
      </c>
      <c r="L829" s="1213"/>
      <c r="N829" s="1214" t="str">
        <f t="shared" si="100"/>
        <v xml:space="preserve"> </v>
      </c>
      <c r="O829" s="1215" t="str">
        <f t="shared" si="101"/>
        <v xml:space="preserve"> </v>
      </c>
      <c r="Q829">
        <f t="shared" si="102"/>
        <v>0</v>
      </c>
      <c r="R829">
        <f t="shared" si="103"/>
        <v>0</v>
      </c>
    </row>
    <row r="830" spans="2:18" x14ac:dyDescent="0.2">
      <c r="B830" s="1209"/>
      <c r="C830" s="1210"/>
      <c r="D830" s="939"/>
      <c r="E830" s="1211" t="str">
        <f t="shared" si="98"/>
        <v xml:space="preserve"> </v>
      </c>
      <c r="G830" s="1212" t="str">
        <f t="shared" si="99"/>
        <v xml:space="preserve"> </v>
      </c>
      <c r="H830" s="1201"/>
      <c r="I830">
        <f t="shared" si="96"/>
        <v>0</v>
      </c>
      <c r="K830">
        <f t="shared" si="97"/>
        <v>0</v>
      </c>
      <c r="L830" s="1213"/>
      <c r="N830" s="1214" t="str">
        <f t="shared" si="100"/>
        <v xml:space="preserve"> </v>
      </c>
      <c r="O830" s="1215" t="str">
        <f t="shared" si="101"/>
        <v xml:space="preserve"> </v>
      </c>
      <c r="Q830">
        <f t="shared" si="102"/>
        <v>0</v>
      </c>
      <c r="R830">
        <f t="shared" si="103"/>
        <v>0</v>
      </c>
    </row>
    <row r="831" spans="2:18" x14ac:dyDescent="0.2">
      <c r="B831" s="1209"/>
      <c r="C831" s="1210"/>
      <c r="D831" s="939"/>
      <c r="E831" s="1211" t="str">
        <f t="shared" si="98"/>
        <v xml:space="preserve"> </v>
      </c>
      <c r="G831" s="1212" t="str">
        <f t="shared" si="99"/>
        <v xml:space="preserve"> </v>
      </c>
      <c r="H831" s="1201"/>
      <c r="I831">
        <f t="shared" si="96"/>
        <v>0</v>
      </c>
      <c r="K831">
        <f t="shared" si="97"/>
        <v>0</v>
      </c>
      <c r="L831" s="1213"/>
      <c r="N831" s="1214" t="str">
        <f t="shared" si="100"/>
        <v xml:space="preserve"> </v>
      </c>
      <c r="O831" s="1215" t="str">
        <f t="shared" si="101"/>
        <v xml:space="preserve"> </v>
      </c>
      <c r="Q831">
        <f t="shared" si="102"/>
        <v>0</v>
      </c>
      <c r="R831">
        <f t="shared" si="103"/>
        <v>0</v>
      </c>
    </row>
    <row r="832" spans="2:18" x14ac:dyDescent="0.2">
      <c r="B832" s="1209"/>
      <c r="C832" s="1210"/>
      <c r="D832" s="939"/>
      <c r="E832" s="1211" t="str">
        <f t="shared" si="98"/>
        <v xml:space="preserve"> </v>
      </c>
      <c r="G832" s="1212" t="str">
        <f t="shared" si="99"/>
        <v xml:space="preserve"> </v>
      </c>
      <c r="H832" s="1201"/>
      <c r="I832">
        <f t="shared" si="96"/>
        <v>0</v>
      </c>
      <c r="K832">
        <f t="shared" si="97"/>
        <v>0</v>
      </c>
      <c r="L832" s="1213"/>
      <c r="N832" s="1214" t="str">
        <f t="shared" si="100"/>
        <v xml:space="preserve"> </v>
      </c>
      <c r="O832" s="1215" t="str">
        <f t="shared" si="101"/>
        <v xml:space="preserve"> </v>
      </c>
      <c r="Q832">
        <f t="shared" si="102"/>
        <v>0</v>
      </c>
      <c r="R832">
        <f t="shared" si="103"/>
        <v>0</v>
      </c>
    </row>
    <row r="833" spans="2:18" x14ac:dyDescent="0.2">
      <c r="B833" s="1209"/>
      <c r="C833" s="1210"/>
      <c r="D833" s="939"/>
      <c r="E833" s="1211" t="str">
        <f t="shared" si="98"/>
        <v xml:space="preserve"> </v>
      </c>
      <c r="G833" s="1212" t="str">
        <f t="shared" si="99"/>
        <v xml:space="preserve"> </v>
      </c>
      <c r="H833" s="1201"/>
      <c r="I833">
        <f t="shared" si="96"/>
        <v>0</v>
      </c>
      <c r="K833">
        <f t="shared" si="97"/>
        <v>0</v>
      </c>
      <c r="L833" s="1213"/>
      <c r="N833" s="1214" t="str">
        <f t="shared" si="100"/>
        <v xml:space="preserve"> </v>
      </c>
      <c r="O833" s="1215" t="str">
        <f t="shared" si="101"/>
        <v xml:space="preserve"> </v>
      </c>
      <c r="Q833">
        <f t="shared" si="102"/>
        <v>0</v>
      </c>
      <c r="R833">
        <f t="shared" si="103"/>
        <v>0</v>
      </c>
    </row>
    <row r="834" spans="2:18" x14ac:dyDescent="0.2">
      <c r="B834" s="1209"/>
      <c r="C834" s="1210"/>
      <c r="D834" s="939"/>
      <c r="E834" s="1211" t="str">
        <f t="shared" si="98"/>
        <v xml:space="preserve"> </v>
      </c>
      <c r="G834" s="1212" t="str">
        <f t="shared" si="99"/>
        <v xml:space="preserve"> </v>
      </c>
      <c r="H834" s="1201"/>
      <c r="I834">
        <f t="shared" si="96"/>
        <v>0</v>
      </c>
      <c r="K834">
        <f t="shared" si="97"/>
        <v>0</v>
      </c>
      <c r="L834" s="1213"/>
      <c r="N834" s="1214" t="str">
        <f t="shared" si="100"/>
        <v xml:space="preserve"> </v>
      </c>
      <c r="O834" s="1215" t="str">
        <f t="shared" si="101"/>
        <v xml:space="preserve"> </v>
      </c>
      <c r="Q834">
        <f t="shared" si="102"/>
        <v>0</v>
      </c>
      <c r="R834">
        <f t="shared" si="103"/>
        <v>0</v>
      </c>
    </row>
    <row r="835" spans="2:18" x14ac:dyDescent="0.2">
      <c r="B835" s="1209"/>
      <c r="C835" s="1210"/>
      <c r="D835" s="939"/>
      <c r="E835" s="1211" t="str">
        <f t="shared" si="98"/>
        <v xml:space="preserve"> </v>
      </c>
      <c r="G835" s="1212" t="str">
        <f t="shared" si="99"/>
        <v xml:space="preserve"> </v>
      </c>
      <c r="H835" s="1201"/>
      <c r="I835">
        <f t="shared" si="96"/>
        <v>0</v>
      </c>
      <c r="K835">
        <f t="shared" si="97"/>
        <v>0</v>
      </c>
      <c r="L835" s="1213"/>
      <c r="N835" s="1214" t="str">
        <f t="shared" si="100"/>
        <v xml:space="preserve"> </v>
      </c>
      <c r="O835" s="1215" t="str">
        <f t="shared" si="101"/>
        <v xml:space="preserve"> </v>
      </c>
      <c r="Q835">
        <f t="shared" si="102"/>
        <v>0</v>
      </c>
      <c r="R835">
        <f t="shared" si="103"/>
        <v>0</v>
      </c>
    </row>
    <row r="836" spans="2:18" x14ac:dyDescent="0.2">
      <c r="B836" s="1209"/>
      <c r="C836" s="1210"/>
      <c r="D836" s="939"/>
      <c r="E836" s="1211" t="str">
        <f t="shared" si="98"/>
        <v xml:space="preserve"> </v>
      </c>
      <c r="G836" s="1212" t="str">
        <f t="shared" si="99"/>
        <v xml:space="preserve"> </v>
      </c>
      <c r="H836" s="1201"/>
      <c r="I836">
        <f t="shared" si="96"/>
        <v>0</v>
      </c>
      <c r="K836">
        <f t="shared" si="97"/>
        <v>0</v>
      </c>
      <c r="L836" s="1213"/>
      <c r="N836" s="1214" t="str">
        <f t="shared" si="100"/>
        <v xml:space="preserve"> </v>
      </c>
      <c r="O836" s="1215" t="str">
        <f t="shared" si="101"/>
        <v xml:space="preserve"> </v>
      </c>
      <c r="Q836">
        <f t="shared" si="102"/>
        <v>0</v>
      </c>
      <c r="R836">
        <f t="shared" si="103"/>
        <v>0</v>
      </c>
    </row>
    <row r="837" spans="2:18" x14ac:dyDescent="0.2">
      <c r="B837" s="1209"/>
      <c r="C837" s="1210"/>
      <c r="D837" s="939"/>
      <c r="E837" s="1211" t="str">
        <f t="shared" si="98"/>
        <v xml:space="preserve"> </v>
      </c>
      <c r="G837" s="1212" t="str">
        <f t="shared" si="99"/>
        <v xml:space="preserve"> </v>
      </c>
      <c r="H837" s="1201"/>
      <c r="I837">
        <f t="shared" si="96"/>
        <v>0</v>
      </c>
      <c r="K837">
        <f t="shared" si="97"/>
        <v>0</v>
      </c>
      <c r="L837" s="1213"/>
      <c r="N837" s="1214" t="str">
        <f t="shared" si="100"/>
        <v xml:space="preserve"> </v>
      </c>
      <c r="O837" s="1215" t="str">
        <f t="shared" si="101"/>
        <v xml:space="preserve"> </v>
      </c>
      <c r="Q837">
        <f t="shared" si="102"/>
        <v>0</v>
      </c>
      <c r="R837">
        <f t="shared" si="103"/>
        <v>0</v>
      </c>
    </row>
    <row r="838" spans="2:18" x14ac:dyDescent="0.2">
      <c r="B838" s="1209"/>
      <c r="C838" s="1210"/>
      <c r="D838" s="939"/>
      <c r="E838" s="1211" t="str">
        <f t="shared" si="98"/>
        <v xml:space="preserve"> </v>
      </c>
      <c r="G838" s="1212" t="str">
        <f t="shared" si="99"/>
        <v xml:space="preserve"> </v>
      </c>
      <c r="H838" s="1201"/>
      <c r="I838">
        <f t="shared" si="96"/>
        <v>0</v>
      </c>
      <c r="K838">
        <f t="shared" si="97"/>
        <v>0</v>
      </c>
      <c r="L838" s="1213"/>
      <c r="N838" s="1214" t="str">
        <f t="shared" si="100"/>
        <v xml:space="preserve"> </v>
      </c>
      <c r="O838" s="1215" t="str">
        <f t="shared" si="101"/>
        <v xml:space="preserve"> </v>
      </c>
      <c r="Q838">
        <f t="shared" si="102"/>
        <v>0</v>
      </c>
      <c r="R838">
        <f t="shared" si="103"/>
        <v>0</v>
      </c>
    </row>
    <row r="839" spans="2:18" x14ac:dyDescent="0.2">
      <c r="B839" s="1209"/>
      <c r="C839" s="1210"/>
      <c r="D839" s="939"/>
      <c r="E839" s="1211" t="str">
        <f t="shared" si="98"/>
        <v xml:space="preserve"> </v>
      </c>
      <c r="G839" s="1212" t="str">
        <f t="shared" si="99"/>
        <v xml:space="preserve"> </v>
      </c>
      <c r="H839" s="1201"/>
      <c r="I839">
        <f t="shared" si="96"/>
        <v>0</v>
      </c>
      <c r="K839">
        <f t="shared" si="97"/>
        <v>0</v>
      </c>
      <c r="L839" s="1213"/>
      <c r="N839" s="1214" t="str">
        <f t="shared" si="100"/>
        <v xml:space="preserve"> </v>
      </c>
      <c r="O839" s="1215" t="str">
        <f t="shared" si="101"/>
        <v xml:space="preserve"> </v>
      </c>
      <c r="Q839">
        <f t="shared" si="102"/>
        <v>0</v>
      </c>
      <c r="R839">
        <f t="shared" si="103"/>
        <v>0</v>
      </c>
    </row>
    <row r="840" spans="2:18" x14ac:dyDescent="0.2">
      <c r="B840" s="1209"/>
      <c r="C840" s="1210"/>
      <c r="D840" s="939"/>
      <c r="E840" s="1211" t="str">
        <f t="shared" si="98"/>
        <v xml:space="preserve"> </v>
      </c>
      <c r="G840" s="1212" t="str">
        <f t="shared" si="99"/>
        <v xml:space="preserve"> </v>
      </c>
      <c r="H840" s="1201"/>
      <c r="I840">
        <f t="shared" ref="I840:I903" si="104">(J840+C840)/12</f>
        <v>0</v>
      </c>
      <c r="K840">
        <f t="shared" ref="K840:K903" si="105">I840+B840</f>
        <v>0</v>
      </c>
      <c r="L840" s="1213"/>
      <c r="N840" s="1214" t="str">
        <f t="shared" si="100"/>
        <v xml:space="preserve"> </v>
      </c>
      <c r="O840" s="1215" t="str">
        <f t="shared" si="101"/>
        <v xml:space="preserve"> </v>
      </c>
      <c r="Q840">
        <f t="shared" si="102"/>
        <v>0</v>
      </c>
      <c r="R840">
        <f t="shared" si="103"/>
        <v>0</v>
      </c>
    </row>
    <row r="841" spans="2:18" x14ac:dyDescent="0.2">
      <c r="B841" s="1209"/>
      <c r="C841" s="1210"/>
      <c r="D841" s="939"/>
      <c r="E841" s="1211" t="str">
        <f t="shared" si="98"/>
        <v xml:space="preserve"> </v>
      </c>
      <c r="G841" s="1212" t="str">
        <f t="shared" si="99"/>
        <v xml:space="preserve"> </v>
      </c>
      <c r="H841" s="1201"/>
      <c r="I841">
        <f t="shared" si="104"/>
        <v>0</v>
      </c>
      <c r="K841">
        <f t="shared" si="105"/>
        <v>0</v>
      </c>
      <c r="L841" s="1213"/>
      <c r="N841" s="1214" t="str">
        <f t="shared" si="100"/>
        <v xml:space="preserve"> </v>
      </c>
      <c r="O841" s="1215" t="str">
        <f t="shared" si="101"/>
        <v xml:space="preserve"> </v>
      </c>
      <c r="Q841">
        <f t="shared" si="102"/>
        <v>0</v>
      </c>
      <c r="R841">
        <f t="shared" si="103"/>
        <v>0</v>
      </c>
    </row>
    <row r="842" spans="2:18" x14ac:dyDescent="0.2">
      <c r="B842" s="1209"/>
      <c r="C842" s="1210"/>
      <c r="D842" s="939"/>
      <c r="E842" s="1211" t="str">
        <f t="shared" ref="E842:E905" si="106">IF(K842=0," ",IF(K842&gt;0,K842*12*25.4))</f>
        <v xml:space="preserve"> </v>
      </c>
      <c r="G842" s="1212" t="str">
        <f t="shared" ref="G842:G905" si="107">IF(K842=0," ",IF(K842&gt;0,E842/1000))</f>
        <v xml:space="preserve"> </v>
      </c>
      <c r="H842" s="1201"/>
      <c r="I842">
        <f t="shared" si="104"/>
        <v>0</v>
      </c>
      <c r="K842">
        <f t="shared" si="105"/>
        <v>0</v>
      </c>
      <c r="L842" s="1213"/>
      <c r="N842" s="1214" t="str">
        <f t="shared" ref="N842:N905" si="108">IF(R842=0," ",IF(R842&gt;0,TRUNC(R842)))</f>
        <v xml:space="preserve"> </v>
      </c>
      <c r="O842" s="1215" t="str">
        <f t="shared" ref="O842:O905" si="109">IF(R842=0," ",IF(R842&gt;0,(R842-N842)*12))</f>
        <v xml:space="preserve"> </v>
      </c>
      <c r="Q842">
        <f t="shared" ref="Q842:Q905" si="110">L842/25.4</f>
        <v>0</v>
      </c>
      <c r="R842">
        <f t="shared" ref="R842:R905" si="111">Q842/12</f>
        <v>0</v>
      </c>
    </row>
    <row r="843" spans="2:18" x14ac:dyDescent="0.2">
      <c r="B843" s="1209"/>
      <c r="C843" s="1210"/>
      <c r="D843" s="939"/>
      <c r="E843" s="1211" t="str">
        <f t="shared" si="106"/>
        <v xml:space="preserve"> </v>
      </c>
      <c r="G843" s="1212" t="str">
        <f t="shared" si="107"/>
        <v xml:space="preserve"> </v>
      </c>
      <c r="H843" s="1201"/>
      <c r="I843">
        <f t="shared" si="104"/>
        <v>0</v>
      </c>
      <c r="K843">
        <f t="shared" si="105"/>
        <v>0</v>
      </c>
      <c r="L843" s="1213"/>
      <c r="N843" s="1214" t="str">
        <f t="shared" si="108"/>
        <v xml:space="preserve"> </v>
      </c>
      <c r="O843" s="1215" t="str">
        <f t="shared" si="109"/>
        <v xml:space="preserve"> </v>
      </c>
      <c r="Q843">
        <f t="shared" si="110"/>
        <v>0</v>
      </c>
      <c r="R843">
        <f t="shared" si="111"/>
        <v>0</v>
      </c>
    </row>
    <row r="844" spans="2:18" x14ac:dyDescent="0.2">
      <c r="B844" s="1209"/>
      <c r="C844" s="1210"/>
      <c r="D844" s="939"/>
      <c r="E844" s="1211" t="str">
        <f t="shared" si="106"/>
        <v xml:space="preserve"> </v>
      </c>
      <c r="G844" s="1212" t="str">
        <f t="shared" si="107"/>
        <v xml:space="preserve"> </v>
      </c>
      <c r="H844" s="1201"/>
      <c r="I844">
        <f t="shared" si="104"/>
        <v>0</v>
      </c>
      <c r="K844">
        <f t="shared" si="105"/>
        <v>0</v>
      </c>
      <c r="L844" s="1213"/>
      <c r="N844" s="1214" t="str">
        <f t="shared" si="108"/>
        <v xml:space="preserve"> </v>
      </c>
      <c r="O844" s="1215" t="str">
        <f t="shared" si="109"/>
        <v xml:space="preserve"> </v>
      </c>
      <c r="Q844">
        <f t="shared" si="110"/>
        <v>0</v>
      </c>
      <c r="R844">
        <f t="shared" si="111"/>
        <v>0</v>
      </c>
    </row>
    <row r="845" spans="2:18" x14ac:dyDescent="0.2">
      <c r="B845" s="1209"/>
      <c r="C845" s="1210"/>
      <c r="D845" s="939"/>
      <c r="E845" s="1211" t="str">
        <f t="shared" si="106"/>
        <v xml:space="preserve"> </v>
      </c>
      <c r="G845" s="1212" t="str">
        <f t="shared" si="107"/>
        <v xml:space="preserve"> </v>
      </c>
      <c r="H845" s="1201"/>
      <c r="I845">
        <f t="shared" si="104"/>
        <v>0</v>
      </c>
      <c r="K845">
        <f t="shared" si="105"/>
        <v>0</v>
      </c>
      <c r="L845" s="1213"/>
      <c r="N845" s="1214" t="str">
        <f t="shared" si="108"/>
        <v xml:space="preserve"> </v>
      </c>
      <c r="O845" s="1215" t="str">
        <f t="shared" si="109"/>
        <v xml:space="preserve"> </v>
      </c>
      <c r="Q845">
        <f t="shared" si="110"/>
        <v>0</v>
      </c>
      <c r="R845">
        <f t="shared" si="111"/>
        <v>0</v>
      </c>
    </row>
    <row r="846" spans="2:18" x14ac:dyDescent="0.2">
      <c r="B846" s="1209"/>
      <c r="C846" s="1210"/>
      <c r="D846" s="939"/>
      <c r="E846" s="1211" t="str">
        <f t="shared" si="106"/>
        <v xml:space="preserve"> </v>
      </c>
      <c r="G846" s="1212" t="str">
        <f t="shared" si="107"/>
        <v xml:space="preserve"> </v>
      </c>
      <c r="H846" s="1201"/>
      <c r="I846">
        <f t="shared" si="104"/>
        <v>0</v>
      </c>
      <c r="K846">
        <f t="shared" si="105"/>
        <v>0</v>
      </c>
      <c r="L846" s="1213"/>
      <c r="N846" s="1214" t="str">
        <f t="shared" si="108"/>
        <v xml:space="preserve"> </v>
      </c>
      <c r="O846" s="1215" t="str">
        <f t="shared" si="109"/>
        <v xml:space="preserve"> </v>
      </c>
      <c r="Q846">
        <f t="shared" si="110"/>
        <v>0</v>
      </c>
      <c r="R846">
        <f t="shared" si="111"/>
        <v>0</v>
      </c>
    </row>
    <row r="847" spans="2:18" x14ac:dyDescent="0.2">
      <c r="B847" s="1209"/>
      <c r="C847" s="1210"/>
      <c r="D847" s="939"/>
      <c r="E847" s="1211" t="str">
        <f t="shared" si="106"/>
        <v xml:space="preserve"> </v>
      </c>
      <c r="G847" s="1212" t="str">
        <f t="shared" si="107"/>
        <v xml:space="preserve"> </v>
      </c>
      <c r="H847" s="1201"/>
      <c r="I847">
        <f t="shared" si="104"/>
        <v>0</v>
      </c>
      <c r="K847">
        <f t="shared" si="105"/>
        <v>0</v>
      </c>
      <c r="L847" s="1213"/>
      <c r="N847" s="1214" t="str">
        <f t="shared" si="108"/>
        <v xml:space="preserve"> </v>
      </c>
      <c r="O847" s="1215" t="str">
        <f t="shared" si="109"/>
        <v xml:space="preserve"> </v>
      </c>
      <c r="Q847">
        <f t="shared" si="110"/>
        <v>0</v>
      </c>
      <c r="R847">
        <f t="shared" si="111"/>
        <v>0</v>
      </c>
    </row>
    <row r="848" spans="2:18" x14ac:dyDescent="0.2">
      <c r="B848" s="1209"/>
      <c r="C848" s="1210"/>
      <c r="D848" s="939"/>
      <c r="E848" s="1211" t="str">
        <f t="shared" si="106"/>
        <v xml:space="preserve"> </v>
      </c>
      <c r="G848" s="1212" t="str">
        <f t="shared" si="107"/>
        <v xml:space="preserve"> </v>
      </c>
      <c r="H848" s="1201"/>
      <c r="I848">
        <f t="shared" si="104"/>
        <v>0</v>
      </c>
      <c r="K848">
        <f t="shared" si="105"/>
        <v>0</v>
      </c>
      <c r="L848" s="1213"/>
      <c r="N848" s="1214" t="str">
        <f t="shared" si="108"/>
        <v xml:space="preserve"> </v>
      </c>
      <c r="O848" s="1215" t="str">
        <f t="shared" si="109"/>
        <v xml:space="preserve"> </v>
      </c>
      <c r="Q848">
        <f t="shared" si="110"/>
        <v>0</v>
      </c>
      <c r="R848">
        <f t="shared" si="111"/>
        <v>0</v>
      </c>
    </row>
    <row r="849" spans="2:18" x14ac:dyDescent="0.2">
      <c r="B849" s="1209"/>
      <c r="C849" s="1210"/>
      <c r="D849" s="939"/>
      <c r="E849" s="1211" t="str">
        <f t="shared" si="106"/>
        <v xml:space="preserve"> </v>
      </c>
      <c r="G849" s="1212" t="str">
        <f t="shared" si="107"/>
        <v xml:space="preserve"> </v>
      </c>
      <c r="H849" s="1201"/>
      <c r="I849">
        <f t="shared" si="104"/>
        <v>0</v>
      </c>
      <c r="K849">
        <f t="shared" si="105"/>
        <v>0</v>
      </c>
      <c r="L849" s="1213"/>
      <c r="N849" s="1214" t="str">
        <f t="shared" si="108"/>
        <v xml:space="preserve"> </v>
      </c>
      <c r="O849" s="1215" t="str">
        <f t="shared" si="109"/>
        <v xml:space="preserve"> </v>
      </c>
      <c r="Q849">
        <f t="shared" si="110"/>
        <v>0</v>
      </c>
      <c r="R849">
        <f t="shared" si="111"/>
        <v>0</v>
      </c>
    </row>
    <row r="850" spans="2:18" x14ac:dyDescent="0.2">
      <c r="B850" s="1209"/>
      <c r="C850" s="1210"/>
      <c r="D850" s="939"/>
      <c r="E850" s="1211" t="str">
        <f t="shared" si="106"/>
        <v xml:space="preserve"> </v>
      </c>
      <c r="G850" s="1212" t="str">
        <f t="shared" si="107"/>
        <v xml:space="preserve"> </v>
      </c>
      <c r="H850" s="1201"/>
      <c r="I850">
        <f t="shared" si="104"/>
        <v>0</v>
      </c>
      <c r="K850">
        <f t="shared" si="105"/>
        <v>0</v>
      </c>
      <c r="L850" s="1213"/>
      <c r="N850" s="1214" t="str">
        <f t="shared" si="108"/>
        <v xml:space="preserve"> </v>
      </c>
      <c r="O850" s="1215" t="str">
        <f t="shared" si="109"/>
        <v xml:space="preserve"> </v>
      </c>
      <c r="Q850">
        <f t="shared" si="110"/>
        <v>0</v>
      </c>
      <c r="R850">
        <f t="shared" si="111"/>
        <v>0</v>
      </c>
    </row>
    <row r="851" spans="2:18" x14ac:dyDescent="0.2">
      <c r="B851" s="1209"/>
      <c r="C851" s="1210"/>
      <c r="D851" s="939"/>
      <c r="E851" s="1211" t="str">
        <f t="shared" si="106"/>
        <v xml:space="preserve"> </v>
      </c>
      <c r="G851" s="1212" t="str">
        <f t="shared" si="107"/>
        <v xml:space="preserve"> </v>
      </c>
      <c r="H851" s="1201"/>
      <c r="I851">
        <f t="shared" si="104"/>
        <v>0</v>
      </c>
      <c r="K851">
        <f t="shared" si="105"/>
        <v>0</v>
      </c>
      <c r="L851" s="1213"/>
      <c r="N851" s="1214" t="str">
        <f t="shared" si="108"/>
        <v xml:space="preserve"> </v>
      </c>
      <c r="O851" s="1215" t="str">
        <f t="shared" si="109"/>
        <v xml:space="preserve"> </v>
      </c>
      <c r="Q851">
        <f t="shared" si="110"/>
        <v>0</v>
      </c>
      <c r="R851">
        <f t="shared" si="111"/>
        <v>0</v>
      </c>
    </row>
    <row r="852" spans="2:18" x14ac:dyDescent="0.2">
      <c r="B852" s="1209"/>
      <c r="C852" s="1210"/>
      <c r="D852" s="939"/>
      <c r="E852" s="1211" t="str">
        <f t="shared" si="106"/>
        <v xml:space="preserve"> </v>
      </c>
      <c r="G852" s="1212" t="str">
        <f t="shared" si="107"/>
        <v xml:space="preserve"> </v>
      </c>
      <c r="H852" s="1201"/>
      <c r="I852">
        <f t="shared" si="104"/>
        <v>0</v>
      </c>
      <c r="K852">
        <f t="shared" si="105"/>
        <v>0</v>
      </c>
      <c r="L852" s="1213"/>
      <c r="N852" s="1214" t="str">
        <f t="shared" si="108"/>
        <v xml:space="preserve"> </v>
      </c>
      <c r="O852" s="1215" t="str">
        <f t="shared" si="109"/>
        <v xml:space="preserve"> </v>
      </c>
      <c r="Q852">
        <f t="shared" si="110"/>
        <v>0</v>
      </c>
      <c r="R852">
        <f t="shared" si="111"/>
        <v>0</v>
      </c>
    </row>
    <row r="853" spans="2:18" x14ac:dyDescent="0.2">
      <c r="B853" s="1209"/>
      <c r="C853" s="1210"/>
      <c r="D853" s="939"/>
      <c r="E853" s="1211" t="str">
        <f t="shared" si="106"/>
        <v xml:space="preserve"> </v>
      </c>
      <c r="G853" s="1212" t="str">
        <f t="shared" si="107"/>
        <v xml:space="preserve"> </v>
      </c>
      <c r="H853" s="1201"/>
      <c r="I853">
        <f t="shared" si="104"/>
        <v>0</v>
      </c>
      <c r="K853">
        <f t="shared" si="105"/>
        <v>0</v>
      </c>
      <c r="L853" s="1213"/>
      <c r="N853" s="1214" t="str">
        <f t="shared" si="108"/>
        <v xml:space="preserve"> </v>
      </c>
      <c r="O853" s="1215" t="str">
        <f t="shared" si="109"/>
        <v xml:space="preserve"> </v>
      </c>
      <c r="Q853">
        <f t="shared" si="110"/>
        <v>0</v>
      </c>
      <c r="R853">
        <f t="shared" si="111"/>
        <v>0</v>
      </c>
    </row>
    <row r="854" spans="2:18" x14ac:dyDescent="0.2">
      <c r="B854" s="1209"/>
      <c r="C854" s="1210"/>
      <c r="D854" s="939"/>
      <c r="E854" s="1211" t="str">
        <f t="shared" si="106"/>
        <v xml:space="preserve"> </v>
      </c>
      <c r="G854" s="1212" t="str">
        <f t="shared" si="107"/>
        <v xml:space="preserve"> </v>
      </c>
      <c r="H854" s="1201"/>
      <c r="I854">
        <f t="shared" si="104"/>
        <v>0</v>
      </c>
      <c r="K854">
        <f t="shared" si="105"/>
        <v>0</v>
      </c>
      <c r="L854" s="1213"/>
      <c r="N854" s="1214" t="str">
        <f t="shared" si="108"/>
        <v xml:space="preserve"> </v>
      </c>
      <c r="O854" s="1215" t="str">
        <f t="shared" si="109"/>
        <v xml:space="preserve"> </v>
      </c>
      <c r="Q854">
        <f t="shared" si="110"/>
        <v>0</v>
      </c>
      <c r="R854">
        <f t="shared" si="111"/>
        <v>0</v>
      </c>
    </row>
    <row r="855" spans="2:18" x14ac:dyDescent="0.2">
      <c r="B855" s="1209"/>
      <c r="C855" s="1210"/>
      <c r="D855" s="939"/>
      <c r="E855" s="1211" t="str">
        <f t="shared" si="106"/>
        <v xml:space="preserve"> </v>
      </c>
      <c r="G855" s="1212" t="str">
        <f t="shared" si="107"/>
        <v xml:space="preserve"> </v>
      </c>
      <c r="H855" s="1201"/>
      <c r="I855">
        <f t="shared" si="104"/>
        <v>0</v>
      </c>
      <c r="K855">
        <f t="shared" si="105"/>
        <v>0</v>
      </c>
      <c r="L855" s="1213"/>
      <c r="N855" s="1214" t="str">
        <f t="shared" si="108"/>
        <v xml:space="preserve"> </v>
      </c>
      <c r="O855" s="1215" t="str">
        <f t="shared" si="109"/>
        <v xml:space="preserve"> </v>
      </c>
      <c r="Q855">
        <f t="shared" si="110"/>
        <v>0</v>
      </c>
      <c r="R855">
        <f t="shared" si="111"/>
        <v>0</v>
      </c>
    </row>
    <row r="856" spans="2:18" x14ac:dyDescent="0.2">
      <c r="B856" s="1209"/>
      <c r="C856" s="1210"/>
      <c r="D856" s="939"/>
      <c r="E856" s="1211" t="str">
        <f t="shared" si="106"/>
        <v xml:space="preserve"> </v>
      </c>
      <c r="G856" s="1212" t="str">
        <f t="shared" si="107"/>
        <v xml:space="preserve"> </v>
      </c>
      <c r="H856" s="1201"/>
      <c r="I856">
        <f t="shared" si="104"/>
        <v>0</v>
      </c>
      <c r="K856">
        <f t="shared" si="105"/>
        <v>0</v>
      </c>
      <c r="L856" s="1213"/>
      <c r="N856" s="1214" t="str">
        <f t="shared" si="108"/>
        <v xml:space="preserve"> </v>
      </c>
      <c r="O856" s="1215" t="str">
        <f t="shared" si="109"/>
        <v xml:space="preserve"> </v>
      </c>
      <c r="Q856">
        <f t="shared" si="110"/>
        <v>0</v>
      </c>
      <c r="R856">
        <f t="shared" si="111"/>
        <v>0</v>
      </c>
    </row>
    <row r="857" spans="2:18" x14ac:dyDescent="0.2">
      <c r="B857" s="1209"/>
      <c r="C857" s="1210"/>
      <c r="D857" s="939"/>
      <c r="E857" s="1211" t="str">
        <f t="shared" si="106"/>
        <v xml:space="preserve"> </v>
      </c>
      <c r="G857" s="1212" t="str">
        <f t="shared" si="107"/>
        <v xml:space="preserve"> </v>
      </c>
      <c r="H857" s="1201"/>
      <c r="I857">
        <f t="shared" si="104"/>
        <v>0</v>
      </c>
      <c r="K857">
        <f t="shared" si="105"/>
        <v>0</v>
      </c>
      <c r="L857" s="1213"/>
      <c r="N857" s="1214" t="str">
        <f t="shared" si="108"/>
        <v xml:space="preserve"> </v>
      </c>
      <c r="O857" s="1215" t="str">
        <f t="shared" si="109"/>
        <v xml:space="preserve"> </v>
      </c>
      <c r="Q857">
        <f t="shared" si="110"/>
        <v>0</v>
      </c>
      <c r="R857">
        <f t="shared" si="111"/>
        <v>0</v>
      </c>
    </row>
    <row r="858" spans="2:18" x14ac:dyDescent="0.2">
      <c r="B858" s="1209"/>
      <c r="C858" s="1210"/>
      <c r="D858" s="939"/>
      <c r="E858" s="1211" t="str">
        <f t="shared" si="106"/>
        <v xml:space="preserve"> </v>
      </c>
      <c r="G858" s="1212" t="str">
        <f t="shared" si="107"/>
        <v xml:space="preserve"> </v>
      </c>
      <c r="H858" s="1201"/>
      <c r="I858">
        <f t="shared" si="104"/>
        <v>0</v>
      </c>
      <c r="K858">
        <f t="shared" si="105"/>
        <v>0</v>
      </c>
      <c r="L858" s="1213"/>
      <c r="N858" s="1214" t="str">
        <f t="shared" si="108"/>
        <v xml:space="preserve"> </v>
      </c>
      <c r="O858" s="1215" t="str">
        <f t="shared" si="109"/>
        <v xml:space="preserve"> </v>
      </c>
      <c r="Q858">
        <f t="shared" si="110"/>
        <v>0</v>
      </c>
      <c r="R858">
        <f t="shared" si="111"/>
        <v>0</v>
      </c>
    </row>
    <row r="859" spans="2:18" x14ac:dyDescent="0.2">
      <c r="B859" s="1209"/>
      <c r="C859" s="1210"/>
      <c r="D859" s="939"/>
      <c r="E859" s="1211" t="str">
        <f t="shared" si="106"/>
        <v xml:space="preserve"> </v>
      </c>
      <c r="G859" s="1212" t="str">
        <f t="shared" si="107"/>
        <v xml:space="preserve"> </v>
      </c>
      <c r="H859" s="1201"/>
      <c r="I859">
        <f t="shared" si="104"/>
        <v>0</v>
      </c>
      <c r="K859">
        <f t="shared" si="105"/>
        <v>0</v>
      </c>
      <c r="L859" s="1213"/>
      <c r="N859" s="1214" t="str">
        <f t="shared" si="108"/>
        <v xml:space="preserve"> </v>
      </c>
      <c r="O859" s="1215" t="str">
        <f t="shared" si="109"/>
        <v xml:space="preserve"> </v>
      </c>
      <c r="Q859">
        <f t="shared" si="110"/>
        <v>0</v>
      </c>
      <c r="R859">
        <f t="shared" si="111"/>
        <v>0</v>
      </c>
    </row>
    <row r="860" spans="2:18" x14ac:dyDescent="0.2">
      <c r="B860" s="1209"/>
      <c r="C860" s="1210"/>
      <c r="D860" s="939"/>
      <c r="E860" s="1211" t="str">
        <f t="shared" si="106"/>
        <v xml:space="preserve"> </v>
      </c>
      <c r="G860" s="1212" t="str">
        <f t="shared" si="107"/>
        <v xml:space="preserve"> </v>
      </c>
      <c r="H860" s="1201"/>
      <c r="I860">
        <f t="shared" si="104"/>
        <v>0</v>
      </c>
      <c r="K860">
        <f t="shared" si="105"/>
        <v>0</v>
      </c>
      <c r="L860" s="1213"/>
      <c r="N860" s="1214" t="str">
        <f t="shared" si="108"/>
        <v xml:space="preserve"> </v>
      </c>
      <c r="O860" s="1215" t="str">
        <f t="shared" si="109"/>
        <v xml:space="preserve"> </v>
      </c>
      <c r="Q860">
        <f t="shared" si="110"/>
        <v>0</v>
      </c>
      <c r="R860">
        <f t="shared" si="111"/>
        <v>0</v>
      </c>
    </row>
    <row r="861" spans="2:18" x14ac:dyDescent="0.2">
      <c r="B861" s="1209"/>
      <c r="C861" s="1210"/>
      <c r="D861" s="939"/>
      <c r="E861" s="1211" t="str">
        <f t="shared" si="106"/>
        <v xml:space="preserve"> </v>
      </c>
      <c r="G861" s="1212" t="str">
        <f t="shared" si="107"/>
        <v xml:space="preserve"> </v>
      </c>
      <c r="H861" s="1201"/>
      <c r="I861">
        <f t="shared" si="104"/>
        <v>0</v>
      </c>
      <c r="K861">
        <f t="shared" si="105"/>
        <v>0</v>
      </c>
      <c r="L861" s="1213"/>
      <c r="N861" s="1214" t="str">
        <f t="shared" si="108"/>
        <v xml:space="preserve"> </v>
      </c>
      <c r="O861" s="1215" t="str">
        <f t="shared" si="109"/>
        <v xml:space="preserve"> </v>
      </c>
      <c r="Q861">
        <f t="shared" si="110"/>
        <v>0</v>
      </c>
      <c r="R861">
        <f t="shared" si="111"/>
        <v>0</v>
      </c>
    </row>
    <row r="862" spans="2:18" x14ac:dyDescent="0.2">
      <c r="B862" s="1209"/>
      <c r="C862" s="1210"/>
      <c r="D862" s="939"/>
      <c r="E862" s="1211" t="str">
        <f t="shared" si="106"/>
        <v xml:space="preserve"> </v>
      </c>
      <c r="G862" s="1212" t="str">
        <f t="shared" si="107"/>
        <v xml:space="preserve"> </v>
      </c>
      <c r="H862" s="1201"/>
      <c r="I862">
        <f t="shared" si="104"/>
        <v>0</v>
      </c>
      <c r="K862">
        <f t="shared" si="105"/>
        <v>0</v>
      </c>
      <c r="L862" s="1213"/>
      <c r="N862" s="1214" t="str">
        <f t="shared" si="108"/>
        <v xml:space="preserve"> </v>
      </c>
      <c r="O862" s="1215" t="str">
        <f t="shared" si="109"/>
        <v xml:space="preserve"> </v>
      </c>
      <c r="Q862">
        <f t="shared" si="110"/>
        <v>0</v>
      </c>
      <c r="R862">
        <f t="shared" si="111"/>
        <v>0</v>
      </c>
    </row>
    <row r="863" spans="2:18" x14ac:dyDescent="0.2">
      <c r="B863" s="1209"/>
      <c r="C863" s="1210"/>
      <c r="D863" s="939"/>
      <c r="E863" s="1211" t="str">
        <f t="shared" si="106"/>
        <v xml:space="preserve"> </v>
      </c>
      <c r="G863" s="1212" t="str">
        <f t="shared" si="107"/>
        <v xml:space="preserve"> </v>
      </c>
      <c r="H863" s="1201"/>
      <c r="I863">
        <f t="shared" si="104"/>
        <v>0</v>
      </c>
      <c r="K863">
        <f t="shared" si="105"/>
        <v>0</v>
      </c>
      <c r="L863" s="1213"/>
      <c r="N863" s="1214" t="str">
        <f t="shared" si="108"/>
        <v xml:space="preserve"> </v>
      </c>
      <c r="O863" s="1215" t="str">
        <f t="shared" si="109"/>
        <v xml:space="preserve"> </v>
      </c>
      <c r="Q863">
        <f t="shared" si="110"/>
        <v>0</v>
      </c>
      <c r="R863">
        <f t="shared" si="111"/>
        <v>0</v>
      </c>
    </row>
    <row r="864" spans="2:18" x14ac:dyDescent="0.2">
      <c r="B864" s="1209"/>
      <c r="C864" s="1210"/>
      <c r="D864" s="939"/>
      <c r="E864" s="1211" t="str">
        <f t="shared" si="106"/>
        <v xml:space="preserve"> </v>
      </c>
      <c r="G864" s="1212" t="str">
        <f t="shared" si="107"/>
        <v xml:space="preserve"> </v>
      </c>
      <c r="H864" s="1201"/>
      <c r="I864">
        <f t="shared" si="104"/>
        <v>0</v>
      </c>
      <c r="K864">
        <f t="shared" si="105"/>
        <v>0</v>
      </c>
      <c r="L864" s="1213"/>
      <c r="N864" s="1214" t="str">
        <f t="shared" si="108"/>
        <v xml:space="preserve"> </v>
      </c>
      <c r="O864" s="1215" t="str">
        <f t="shared" si="109"/>
        <v xml:space="preserve"> </v>
      </c>
      <c r="Q864">
        <f t="shared" si="110"/>
        <v>0</v>
      </c>
      <c r="R864">
        <f t="shared" si="111"/>
        <v>0</v>
      </c>
    </row>
    <row r="865" spans="2:18" x14ac:dyDescent="0.2">
      <c r="B865" s="1209"/>
      <c r="C865" s="1210"/>
      <c r="D865" s="939"/>
      <c r="E865" s="1211" t="str">
        <f t="shared" si="106"/>
        <v xml:space="preserve"> </v>
      </c>
      <c r="G865" s="1212" t="str">
        <f t="shared" si="107"/>
        <v xml:space="preserve"> </v>
      </c>
      <c r="H865" s="1201"/>
      <c r="I865">
        <f t="shared" si="104"/>
        <v>0</v>
      </c>
      <c r="K865">
        <f t="shared" si="105"/>
        <v>0</v>
      </c>
      <c r="L865" s="1213"/>
      <c r="N865" s="1214" t="str">
        <f t="shared" si="108"/>
        <v xml:space="preserve"> </v>
      </c>
      <c r="O865" s="1215" t="str">
        <f t="shared" si="109"/>
        <v xml:space="preserve"> </v>
      </c>
      <c r="Q865">
        <f t="shared" si="110"/>
        <v>0</v>
      </c>
      <c r="R865">
        <f t="shared" si="111"/>
        <v>0</v>
      </c>
    </row>
    <row r="866" spans="2:18" x14ac:dyDescent="0.2">
      <c r="B866" s="1209"/>
      <c r="C866" s="1210"/>
      <c r="D866" s="939"/>
      <c r="E866" s="1211" t="str">
        <f t="shared" si="106"/>
        <v xml:space="preserve"> </v>
      </c>
      <c r="G866" s="1212" t="str">
        <f t="shared" si="107"/>
        <v xml:space="preserve"> </v>
      </c>
      <c r="H866" s="1201"/>
      <c r="I866">
        <f t="shared" si="104"/>
        <v>0</v>
      </c>
      <c r="K866">
        <f t="shared" si="105"/>
        <v>0</v>
      </c>
      <c r="L866" s="1213"/>
      <c r="N866" s="1214" t="str">
        <f t="shared" si="108"/>
        <v xml:space="preserve"> </v>
      </c>
      <c r="O866" s="1215" t="str">
        <f t="shared" si="109"/>
        <v xml:space="preserve"> </v>
      </c>
      <c r="Q866">
        <f t="shared" si="110"/>
        <v>0</v>
      </c>
      <c r="R866">
        <f t="shared" si="111"/>
        <v>0</v>
      </c>
    </row>
    <row r="867" spans="2:18" x14ac:dyDescent="0.2">
      <c r="B867" s="1209"/>
      <c r="C867" s="1210"/>
      <c r="D867" s="939"/>
      <c r="E867" s="1211" t="str">
        <f t="shared" si="106"/>
        <v xml:space="preserve"> </v>
      </c>
      <c r="G867" s="1212" t="str">
        <f t="shared" si="107"/>
        <v xml:space="preserve"> </v>
      </c>
      <c r="H867" s="1201"/>
      <c r="I867">
        <f t="shared" si="104"/>
        <v>0</v>
      </c>
      <c r="K867">
        <f t="shared" si="105"/>
        <v>0</v>
      </c>
      <c r="L867" s="1213"/>
      <c r="N867" s="1214" t="str">
        <f t="shared" si="108"/>
        <v xml:space="preserve"> </v>
      </c>
      <c r="O867" s="1215" t="str">
        <f t="shared" si="109"/>
        <v xml:space="preserve"> </v>
      </c>
      <c r="Q867">
        <f t="shared" si="110"/>
        <v>0</v>
      </c>
      <c r="R867">
        <f t="shared" si="111"/>
        <v>0</v>
      </c>
    </row>
    <row r="868" spans="2:18" x14ac:dyDescent="0.2">
      <c r="B868" s="1209"/>
      <c r="C868" s="1210"/>
      <c r="D868" s="939"/>
      <c r="E868" s="1211" t="str">
        <f t="shared" si="106"/>
        <v xml:space="preserve"> </v>
      </c>
      <c r="G868" s="1212" t="str">
        <f t="shared" si="107"/>
        <v xml:space="preserve"> </v>
      </c>
      <c r="H868" s="1201"/>
      <c r="I868">
        <f t="shared" si="104"/>
        <v>0</v>
      </c>
      <c r="K868">
        <f t="shared" si="105"/>
        <v>0</v>
      </c>
      <c r="L868" s="1213"/>
      <c r="N868" s="1214" t="str">
        <f t="shared" si="108"/>
        <v xml:space="preserve"> </v>
      </c>
      <c r="O868" s="1215" t="str">
        <f t="shared" si="109"/>
        <v xml:space="preserve"> </v>
      </c>
      <c r="Q868">
        <f t="shared" si="110"/>
        <v>0</v>
      </c>
      <c r="R868">
        <f t="shared" si="111"/>
        <v>0</v>
      </c>
    </row>
    <row r="869" spans="2:18" x14ac:dyDescent="0.2">
      <c r="B869" s="1209"/>
      <c r="C869" s="1210"/>
      <c r="D869" s="939"/>
      <c r="E869" s="1211" t="str">
        <f t="shared" si="106"/>
        <v xml:space="preserve"> </v>
      </c>
      <c r="G869" s="1212" t="str">
        <f t="shared" si="107"/>
        <v xml:space="preserve"> </v>
      </c>
      <c r="H869" s="1201"/>
      <c r="I869">
        <f t="shared" si="104"/>
        <v>0</v>
      </c>
      <c r="K869">
        <f t="shared" si="105"/>
        <v>0</v>
      </c>
      <c r="L869" s="1213"/>
      <c r="N869" s="1214" t="str">
        <f t="shared" si="108"/>
        <v xml:space="preserve"> </v>
      </c>
      <c r="O869" s="1215" t="str">
        <f t="shared" si="109"/>
        <v xml:space="preserve"> </v>
      </c>
      <c r="Q869">
        <f t="shared" si="110"/>
        <v>0</v>
      </c>
      <c r="R869">
        <f t="shared" si="111"/>
        <v>0</v>
      </c>
    </row>
    <row r="870" spans="2:18" x14ac:dyDescent="0.2">
      <c r="B870" s="1209"/>
      <c r="C870" s="1210"/>
      <c r="D870" s="939"/>
      <c r="E870" s="1211" t="str">
        <f t="shared" si="106"/>
        <v xml:space="preserve"> </v>
      </c>
      <c r="G870" s="1212" t="str">
        <f t="shared" si="107"/>
        <v xml:space="preserve"> </v>
      </c>
      <c r="H870" s="1201"/>
      <c r="I870">
        <f t="shared" si="104"/>
        <v>0</v>
      </c>
      <c r="K870">
        <f t="shared" si="105"/>
        <v>0</v>
      </c>
      <c r="L870" s="1213"/>
      <c r="N870" s="1214" t="str">
        <f t="shared" si="108"/>
        <v xml:space="preserve"> </v>
      </c>
      <c r="O870" s="1215" t="str">
        <f t="shared" si="109"/>
        <v xml:space="preserve"> </v>
      </c>
      <c r="Q870">
        <f t="shared" si="110"/>
        <v>0</v>
      </c>
      <c r="R870">
        <f t="shared" si="111"/>
        <v>0</v>
      </c>
    </row>
    <row r="871" spans="2:18" x14ac:dyDescent="0.2">
      <c r="B871" s="1209"/>
      <c r="C871" s="1210"/>
      <c r="D871" s="939"/>
      <c r="E871" s="1211" t="str">
        <f t="shared" si="106"/>
        <v xml:space="preserve"> </v>
      </c>
      <c r="G871" s="1212" t="str">
        <f t="shared" si="107"/>
        <v xml:space="preserve"> </v>
      </c>
      <c r="H871" s="1201"/>
      <c r="I871">
        <f t="shared" si="104"/>
        <v>0</v>
      </c>
      <c r="K871">
        <f t="shared" si="105"/>
        <v>0</v>
      </c>
      <c r="L871" s="1213"/>
      <c r="N871" s="1214" t="str">
        <f t="shared" si="108"/>
        <v xml:space="preserve"> </v>
      </c>
      <c r="O871" s="1215" t="str">
        <f t="shared" si="109"/>
        <v xml:space="preserve"> </v>
      </c>
      <c r="Q871">
        <f t="shared" si="110"/>
        <v>0</v>
      </c>
      <c r="R871">
        <f t="shared" si="111"/>
        <v>0</v>
      </c>
    </row>
    <row r="872" spans="2:18" x14ac:dyDescent="0.2">
      <c r="B872" s="1209"/>
      <c r="C872" s="1210"/>
      <c r="D872" s="939"/>
      <c r="E872" s="1211" t="str">
        <f t="shared" si="106"/>
        <v xml:space="preserve"> </v>
      </c>
      <c r="G872" s="1212" t="str">
        <f t="shared" si="107"/>
        <v xml:space="preserve"> </v>
      </c>
      <c r="H872" s="1201"/>
      <c r="I872">
        <f t="shared" si="104"/>
        <v>0</v>
      </c>
      <c r="K872">
        <f t="shared" si="105"/>
        <v>0</v>
      </c>
      <c r="L872" s="1213"/>
      <c r="N872" s="1214" t="str">
        <f t="shared" si="108"/>
        <v xml:space="preserve"> </v>
      </c>
      <c r="O872" s="1215" t="str">
        <f t="shared" si="109"/>
        <v xml:space="preserve"> </v>
      </c>
      <c r="Q872">
        <f t="shared" si="110"/>
        <v>0</v>
      </c>
      <c r="R872">
        <f t="shared" si="111"/>
        <v>0</v>
      </c>
    </row>
    <row r="873" spans="2:18" x14ac:dyDescent="0.2">
      <c r="B873" s="1209"/>
      <c r="C873" s="1210"/>
      <c r="D873" s="939"/>
      <c r="E873" s="1211" t="str">
        <f t="shared" si="106"/>
        <v xml:space="preserve"> </v>
      </c>
      <c r="G873" s="1212" t="str">
        <f t="shared" si="107"/>
        <v xml:space="preserve"> </v>
      </c>
      <c r="H873" s="1201"/>
      <c r="I873">
        <f t="shared" si="104"/>
        <v>0</v>
      </c>
      <c r="K873">
        <f t="shared" si="105"/>
        <v>0</v>
      </c>
      <c r="L873" s="1213"/>
      <c r="N873" s="1214" t="str">
        <f t="shared" si="108"/>
        <v xml:space="preserve"> </v>
      </c>
      <c r="O873" s="1215" t="str">
        <f t="shared" si="109"/>
        <v xml:space="preserve"> </v>
      </c>
      <c r="Q873">
        <f t="shared" si="110"/>
        <v>0</v>
      </c>
      <c r="R873">
        <f t="shared" si="111"/>
        <v>0</v>
      </c>
    </row>
    <row r="874" spans="2:18" x14ac:dyDescent="0.2">
      <c r="B874" s="1209"/>
      <c r="C874" s="1210"/>
      <c r="D874" s="939"/>
      <c r="E874" s="1211" t="str">
        <f t="shared" si="106"/>
        <v xml:space="preserve"> </v>
      </c>
      <c r="G874" s="1212" t="str">
        <f t="shared" si="107"/>
        <v xml:space="preserve"> </v>
      </c>
      <c r="H874" s="1201"/>
      <c r="I874">
        <f t="shared" si="104"/>
        <v>0</v>
      </c>
      <c r="K874">
        <f t="shared" si="105"/>
        <v>0</v>
      </c>
      <c r="L874" s="1213"/>
      <c r="N874" s="1214" t="str">
        <f t="shared" si="108"/>
        <v xml:space="preserve"> </v>
      </c>
      <c r="O874" s="1215" t="str">
        <f t="shared" si="109"/>
        <v xml:space="preserve"> </v>
      </c>
      <c r="Q874">
        <f t="shared" si="110"/>
        <v>0</v>
      </c>
      <c r="R874">
        <f t="shared" si="111"/>
        <v>0</v>
      </c>
    </row>
    <row r="875" spans="2:18" x14ac:dyDescent="0.2">
      <c r="B875" s="1209"/>
      <c r="C875" s="1210"/>
      <c r="D875" s="939"/>
      <c r="E875" s="1211" t="str">
        <f t="shared" si="106"/>
        <v xml:space="preserve"> </v>
      </c>
      <c r="G875" s="1212" t="str">
        <f t="shared" si="107"/>
        <v xml:space="preserve"> </v>
      </c>
      <c r="H875" s="1201"/>
      <c r="I875">
        <f t="shared" si="104"/>
        <v>0</v>
      </c>
      <c r="K875">
        <f t="shared" si="105"/>
        <v>0</v>
      </c>
      <c r="L875" s="1213"/>
      <c r="N875" s="1214" t="str">
        <f t="shared" si="108"/>
        <v xml:space="preserve"> </v>
      </c>
      <c r="O875" s="1215" t="str">
        <f t="shared" si="109"/>
        <v xml:space="preserve"> </v>
      </c>
      <c r="Q875">
        <f t="shared" si="110"/>
        <v>0</v>
      </c>
      <c r="R875">
        <f t="shared" si="111"/>
        <v>0</v>
      </c>
    </row>
    <row r="876" spans="2:18" x14ac:dyDescent="0.2">
      <c r="B876" s="1209"/>
      <c r="C876" s="1210"/>
      <c r="D876" s="939"/>
      <c r="E876" s="1211" t="str">
        <f t="shared" si="106"/>
        <v xml:space="preserve"> </v>
      </c>
      <c r="G876" s="1212" t="str">
        <f t="shared" si="107"/>
        <v xml:space="preserve"> </v>
      </c>
      <c r="H876" s="1201"/>
      <c r="I876">
        <f t="shared" si="104"/>
        <v>0</v>
      </c>
      <c r="K876">
        <f t="shared" si="105"/>
        <v>0</v>
      </c>
      <c r="L876" s="1213"/>
      <c r="N876" s="1214" t="str">
        <f t="shared" si="108"/>
        <v xml:space="preserve"> </v>
      </c>
      <c r="O876" s="1215" t="str">
        <f t="shared" si="109"/>
        <v xml:space="preserve"> </v>
      </c>
      <c r="Q876">
        <f t="shared" si="110"/>
        <v>0</v>
      </c>
      <c r="R876">
        <f t="shared" si="111"/>
        <v>0</v>
      </c>
    </row>
    <row r="877" spans="2:18" x14ac:dyDescent="0.2">
      <c r="B877" s="1209"/>
      <c r="C877" s="1210"/>
      <c r="D877" s="939"/>
      <c r="E877" s="1211" t="str">
        <f t="shared" si="106"/>
        <v xml:space="preserve"> </v>
      </c>
      <c r="G877" s="1212" t="str">
        <f t="shared" si="107"/>
        <v xml:space="preserve"> </v>
      </c>
      <c r="H877" s="1201"/>
      <c r="I877">
        <f t="shared" si="104"/>
        <v>0</v>
      </c>
      <c r="K877">
        <f t="shared" si="105"/>
        <v>0</v>
      </c>
      <c r="L877" s="1213"/>
      <c r="N877" s="1214" t="str">
        <f t="shared" si="108"/>
        <v xml:space="preserve"> </v>
      </c>
      <c r="O877" s="1215" t="str">
        <f t="shared" si="109"/>
        <v xml:space="preserve"> </v>
      </c>
      <c r="Q877">
        <f t="shared" si="110"/>
        <v>0</v>
      </c>
      <c r="R877">
        <f t="shared" si="111"/>
        <v>0</v>
      </c>
    </row>
    <row r="878" spans="2:18" x14ac:dyDescent="0.2">
      <c r="B878" s="1209"/>
      <c r="C878" s="1210"/>
      <c r="D878" s="939"/>
      <c r="E878" s="1211" t="str">
        <f t="shared" si="106"/>
        <v xml:space="preserve"> </v>
      </c>
      <c r="G878" s="1212" t="str">
        <f t="shared" si="107"/>
        <v xml:space="preserve"> </v>
      </c>
      <c r="H878" s="1201"/>
      <c r="I878">
        <f t="shared" si="104"/>
        <v>0</v>
      </c>
      <c r="K878">
        <f t="shared" si="105"/>
        <v>0</v>
      </c>
      <c r="L878" s="1213"/>
      <c r="N878" s="1214" t="str">
        <f t="shared" si="108"/>
        <v xml:space="preserve"> </v>
      </c>
      <c r="O878" s="1215" t="str">
        <f t="shared" si="109"/>
        <v xml:space="preserve"> </v>
      </c>
      <c r="Q878">
        <f t="shared" si="110"/>
        <v>0</v>
      </c>
      <c r="R878">
        <f t="shared" si="111"/>
        <v>0</v>
      </c>
    </row>
    <row r="879" spans="2:18" x14ac:dyDescent="0.2">
      <c r="B879" s="1209"/>
      <c r="C879" s="1210"/>
      <c r="D879" s="939"/>
      <c r="E879" s="1211" t="str">
        <f t="shared" si="106"/>
        <v xml:space="preserve"> </v>
      </c>
      <c r="G879" s="1212" t="str">
        <f t="shared" si="107"/>
        <v xml:space="preserve"> </v>
      </c>
      <c r="H879" s="1201"/>
      <c r="I879">
        <f t="shared" si="104"/>
        <v>0</v>
      </c>
      <c r="K879">
        <f t="shared" si="105"/>
        <v>0</v>
      </c>
      <c r="L879" s="1213"/>
      <c r="N879" s="1214" t="str">
        <f t="shared" si="108"/>
        <v xml:space="preserve"> </v>
      </c>
      <c r="O879" s="1215" t="str">
        <f t="shared" si="109"/>
        <v xml:space="preserve"> </v>
      </c>
      <c r="Q879">
        <f t="shared" si="110"/>
        <v>0</v>
      </c>
      <c r="R879">
        <f t="shared" si="111"/>
        <v>0</v>
      </c>
    </row>
    <row r="880" spans="2:18" x14ac:dyDescent="0.2">
      <c r="B880" s="1209"/>
      <c r="C880" s="1210"/>
      <c r="D880" s="939"/>
      <c r="E880" s="1211" t="str">
        <f t="shared" si="106"/>
        <v xml:space="preserve"> </v>
      </c>
      <c r="G880" s="1212" t="str">
        <f t="shared" si="107"/>
        <v xml:space="preserve"> </v>
      </c>
      <c r="H880" s="1201"/>
      <c r="I880">
        <f t="shared" si="104"/>
        <v>0</v>
      </c>
      <c r="K880">
        <f t="shared" si="105"/>
        <v>0</v>
      </c>
      <c r="L880" s="1213"/>
      <c r="N880" s="1214" t="str">
        <f t="shared" si="108"/>
        <v xml:space="preserve"> </v>
      </c>
      <c r="O880" s="1215" t="str">
        <f t="shared" si="109"/>
        <v xml:space="preserve"> </v>
      </c>
      <c r="Q880">
        <f t="shared" si="110"/>
        <v>0</v>
      </c>
      <c r="R880">
        <f t="shared" si="111"/>
        <v>0</v>
      </c>
    </row>
    <row r="881" spans="2:18" x14ac:dyDescent="0.2">
      <c r="B881" s="1209"/>
      <c r="C881" s="1210"/>
      <c r="D881" s="939"/>
      <c r="E881" s="1211" t="str">
        <f t="shared" si="106"/>
        <v xml:space="preserve"> </v>
      </c>
      <c r="G881" s="1212" t="str">
        <f t="shared" si="107"/>
        <v xml:space="preserve"> </v>
      </c>
      <c r="H881" s="1201"/>
      <c r="I881">
        <f t="shared" si="104"/>
        <v>0</v>
      </c>
      <c r="K881">
        <f t="shared" si="105"/>
        <v>0</v>
      </c>
      <c r="L881" s="1213"/>
      <c r="N881" s="1214" t="str">
        <f t="shared" si="108"/>
        <v xml:space="preserve"> </v>
      </c>
      <c r="O881" s="1215" t="str">
        <f t="shared" si="109"/>
        <v xml:space="preserve"> </v>
      </c>
      <c r="Q881">
        <f t="shared" si="110"/>
        <v>0</v>
      </c>
      <c r="R881">
        <f t="shared" si="111"/>
        <v>0</v>
      </c>
    </row>
    <row r="882" spans="2:18" x14ac:dyDescent="0.2">
      <c r="B882" s="1209"/>
      <c r="C882" s="1210"/>
      <c r="D882" s="939"/>
      <c r="E882" s="1211" t="str">
        <f t="shared" si="106"/>
        <v xml:space="preserve"> </v>
      </c>
      <c r="G882" s="1212" t="str">
        <f t="shared" si="107"/>
        <v xml:space="preserve"> </v>
      </c>
      <c r="H882" s="1201"/>
      <c r="I882">
        <f t="shared" si="104"/>
        <v>0</v>
      </c>
      <c r="K882">
        <f t="shared" si="105"/>
        <v>0</v>
      </c>
      <c r="L882" s="1213"/>
      <c r="N882" s="1214" t="str">
        <f t="shared" si="108"/>
        <v xml:space="preserve"> </v>
      </c>
      <c r="O882" s="1215" t="str">
        <f t="shared" si="109"/>
        <v xml:space="preserve"> </v>
      </c>
      <c r="Q882">
        <f t="shared" si="110"/>
        <v>0</v>
      </c>
      <c r="R882">
        <f t="shared" si="111"/>
        <v>0</v>
      </c>
    </row>
    <row r="883" spans="2:18" x14ac:dyDescent="0.2">
      <c r="B883" s="1209"/>
      <c r="C883" s="1210"/>
      <c r="D883" s="939"/>
      <c r="E883" s="1211" t="str">
        <f t="shared" si="106"/>
        <v xml:space="preserve"> </v>
      </c>
      <c r="G883" s="1212" t="str">
        <f t="shared" si="107"/>
        <v xml:space="preserve"> </v>
      </c>
      <c r="H883" s="1201"/>
      <c r="I883">
        <f t="shared" si="104"/>
        <v>0</v>
      </c>
      <c r="K883">
        <f t="shared" si="105"/>
        <v>0</v>
      </c>
      <c r="L883" s="1213"/>
      <c r="N883" s="1214" t="str">
        <f t="shared" si="108"/>
        <v xml:space="preserve"> </v>
      </c>
      <c r="O883" s="1215" t="str">
        <f t="shared" si="109"/>
        <v xml:space="preserve"> </v>
      </c>
      <c r="Q883">
        <f t="shared" si="110"/>
        <v>0</v>
      </c>
      <c r="R883">
        <f t="shared" si="111"/>
        <v>0</v>
      </c>
    </row>
    <row r="884" spans="2:18" x14ac:dyDescent="0.2">
      <c r="B884" s="1209"/>
      <c r="C884" s="1210"/>
      <c r="D884" s="939"/>
      <c r="E884" s="1211" t="str">
        <f t="shared" si="106"/>
        <v xml:space="preserve"> </v>
      </c>
      <c r="G884" s="1212" t="str">
        <f t="shared" si="107"/>
        <v xml:space="preserve"> </v>
      </c>
      <c r="H884" s="1201"/>
      <c r="I884">
        <f t="shared" si="104"/>
        <v>0</v>
      </c>
      <c r="K884">
        <f t="shared" si="105"/>
        <v>0</v>
      </c>
      <c r="L884" s="1213"/>
      <c r="N884" s="1214" t="str">
        <f t="shared" si="108"/>
        <v xml:space="preserve"> </v>
      </c>
      <c r="O884" s="1215" t="str">
        <f t="shared" si="109"/>
        <v xml:space="preserve"> </v>
      </c>
      <c r="Q884">
        <f t="shared" si="110"/>
        <v>0</v>
      </c>
      <c r="R884">
        <f t="shared" si="111"/>
        <v>0</v>
      </c>
    </row>
    <row r="885" spans="2:18" x14ac:dyDescent="0.2">
      <c r="B885" s="1209"/>
      <c r="C885" s="1210"/>
      <c r="D885" s="939"/>
      <c r="E885" s="1211" t="str">
        <f t="shared" si="106"/>
        <v xml:space="preserve"> </v>
      </c>
      <c r="G885" s="1212" t="str">
        <f t="shared" si="107"/>
        <v xml:space="preserve"> </v>
      </c>
      <c r="H885" s="1201"/>
      <c r="I885">
        <f t="shared" si="104"/>
        <v>0</v>
      </c>
      <c r="K885">
        <f t="shared" si="105"/>
        <v>0</v>
      </c>
      <c r="L885" s="1213"/>
      <c r="N885" s="1214" t="str">
        <f t="shared" si="108"/>
        <v xml:space="preserve"> </v>
      </c>
      <c r="O885" s="1215" t="str">
        <f t="shared" si="109"/>
        <v xml:space="preserve"> </v>
      </c>
      <c r="Q885">
        <f t="shared" si="110"/>
        <v>0</v>
      </c>
      <c r="R885">
        <f t="shared" si="111"/>
        <v>0</v>
      </c>
    </row>
    <row r="886" spans="2:18" x14ac:dyDescent="0.2">
      <c r="B886" s="1209"/>
      <c r="C886" s="1210"/>
      <c r="D886" s="939"/>
      <c r="E886" s="1211" t="str">
        <f t="shared" si="106"/>
        <v xml:space="preserve"> </v>
      </c>
      <c r="G886" s="1212" t="str">
        <f t="shared" si="107"/>
        <v xml:space="preserve"> </v>
      </c>
      <c r="H886" s="1201"/>
      <c r="I886">
        <f t="shared" si="104"/>
        <v>0</v>
      </c>
      <c r="K886">
        <f t="shared" si="105"/>
        <v>0</v>
      </c>
      <c r="L886" s="1213"/>
      <c r="N886" s="1214" t="str">
        <f t="shared" si="108"/>
        <v xml:space="preserve"> </v>
      </c>
      <c r="O886" s="1215" t="str">
        <f t="shared" si="109"/>
        <v xml:space="preserve"> </v>
      </c>
      <c r="Q886">
        <f t="shared" si="110"/>
        <v>0</v>
      </c>
      <c r="R886">
        <f t="shared" si="111"/>
        <v>0</v>
      </c>
    </row>
    <row r="887" spans="2:18" x14ac:dyDescent="0.2">
      <c r="B887" s="1209"/>
      <c r="C887" s="1210"/>
      <c r="D887" s="939"/>
      <c r="E887" s="1211" t="str">
        <f t="shared" si="106"/>
        <v xml:space="preserve"> </v>
      </c>
      <c r="G887" s="1212" t="str">
        <f t="shared" si="107"/>
        <v xml:space="preserve"> </v>
      </c>
      <c r="H887" s="1201"/>
      <c r="I887">
        <f t="shared" si="104"/>
        <v>0</v>
      </c>
      <c r="K887">
        <f t="shared" si="105"/>
        <v>0</v>
      </c>
      <c r="L887" s="1213"/>
      <c r="N887" s="1214" t="str">
        <f t="shared" si="108"/>
        <v xml:space="preserve"> </v>
      </c>
      <c r="O887" s="1215" t="str">
        <f t="shared" si="109"/>
        <v xml:space="preserve"> </v>
      </c>
      <c r="Q887">
        <f t="shared" si="110"/>
        <v>0</v>
      </c>
      <c r="R887">
        <f t="shared" si="111"/>
        <v>0</v>
      </c>
    </row>
    <row r="888" spans="2:18" x14ac:dyDescent="0.2">
      <c r="B888" s="1209"/>
      <c r="C888" s="1210"/>
      <c r="D888" s="939"/>
      <c r="E888" s="1211" t="str">
        <f t="shared" si="106"/>
        <v xml:space="preserve"> </v>
      </c>
      <c r="G888" s="1212" t="str">
        <f t="shared" si="107"/>
        <v xml:space="preserve"> </v>
      </c>
      <c r="H888" s="1201"/>
      <c r="I888">
        <f t="shared" si="104"/>
        <v>0</v>
      </c>
      <c r="K888">
        <f t="shared" si="105"/>
        <v>0</v>
      </c>
      <c r="L888" s="1213"/>
      <c r="N888" s="1214" t="str">
        <f t="shared" si="108"/>
        <v xml:space="preserve"> </v>
      </c>
      <c r="O888" s="1215" t="str">
        <f t="shared" si="109"/>
        <v xml:space="preserve"> </v>
      </c>
      <c r="Q888">
        <f t="shared" si="110"/>
        <v>0</v>
      </c>
      <c r="R888">
        <f t="shared" si="111"/>
        <v>0</v>
      </c>
    </row>
    <row r="889" spans="2:18" x14ac:dyDescent="0.2">
      <c r="B889" s="1209"/>
      <c r="C889" s="1210"/>
      <c r="D889" s="939"/>
      <c r="E889" s="1211" t="str">
        <f t="shared" si="106"/>
        <v xml:space="preserve"> </v>
      </c>
      <c r="G889" s="1212" t="str">
        <f t="shared" si="107"/>
        <v xml:space="preserve"> </v>
      </c>
      <c r="H889" s="1201"/>
      <c r="I889">
        <f t="shared" si="104"/>
        <v>0</v>
      </c>
      <c r="K889">
        <f t="shared" si="105"/>
        <v>0</v>
      </c>
      <c r="L889" s="1213"/>
      <c r="N889" s="1214" t="str">
        <f t="shared" si="108"/>
        <v xml:space="preserve"> </v>
      </c>
      <c r="O889" s="1215" t="str">
        <f t="shared" si="109"/>
        <v xml:space="preserve"> </v>
      </c>
      <c r="Q889">
        <f t="shared" si="110"/>
        <v>0</v>
      </c>
      <c r="R889">
        <f t="shared" si="111"/>
        <v>0</v>
      </c>
    </row>
    <row r="890" spans="2:18" x14ac:dyDescent="0.2">
      <c r="B890" s="1209"/>
      <c r="C890" s="1210"/>
      <c r="D890" s="939"/>
      <c r="E890" s="1211" t="str">
        <f t="shared" si="106"/>
        <v xml:space="preserve"> </v>
      </c>
      <c r="G890" s="1212" t="str">
        <f t="shared" si="107"/>
        <v xml:space="preserve"> </v>
      </c>
      <c r="H890" s="1201"/>
      <c r="I890">
        <f t="shared" si="104"/>
        <v>0</v>
      </c>
      <c r="K890">
        <f t="shared" si="105"/>
        <v>0</v>
      </c>
      <c r="L890" s="1213"/>
      <c r="N890" s="1214" t="str">
        <f t="shared" si="108"/>
        <v xml:space="preserve"> </v>
      </c>
      <c r="O890" s="1215" t="str">
        <f t="shared" si="109"/>
        <v xml:space="preserve"> </v>
      </c>
      <c r="Q890">
        <f t="shared" si="110"/>
        <v>0</v>
      </c>
      <c r="R890">
        <f t="shared" si="111"/>
        <v>0</v>
      </c>
    </row>
    <row r="891" spans="2:18" x14ac:dyDescent="0.2">
      <c r="B891" s="1209"/>
      <c r="C891" s="1210"/>
      <c r="D891" s="939"/>
      <c r="E891" s="1211" t="str">
        <f t="shared" si="106"/>
        <v xml:space="preserve"> </v>
      </c>
      <c r="G891" s="1212" t="str">
        <f t="shared" si="107"/>
        <v xml:space="preserve"> </v>
      </c>
      <c r="H891" s="1201"/>
      <c r="I891">
        <f t="shared" si="104"/>
        <v>0</v>
      </c>
      <c r="K891">
        <f t="shared" si="105"/>
        <v>0</v>
      </c>
      <c r="L891" s="1213"/>
      <c r="N891" s="1214" t="str">
        <f t="shared" si="108"/>
        <v xml:space="preserve"> </v>
      </c>
      <c r="O891" s="1215" t="str">
        <f t="shared" si="109"/>
        <v xml:space="preserve"> </v>
      </c>
      <c r="Q891">
        <f t="shared" si="110"/>
        <v>0</v>
      </c>
      <c r="R891">
        <f t="shared" si="111"/>
        <v>0</v>
      </c>
    </row>
    <row r="892" spans="2:18" x14ac:dyDescent="0.2">
      <c r="B892" s="1209"/>
      <c r="C892" s="1210"/>
      <c r="D892" s="939"/>
      <c r="E892" s="1211" t="str">
        <f t="shared" si="106"/>
        <v xml:space="preserve"> </v>
      </c>
      <c r="G892" s="1212" t="str">
        <f t="shared" si="107"/>
        <v xml:space="preserve"> </v>
      </c>
      <c r="H892" s="1201"/>
      <c r="I892">
        <f t="shared" si="104"/>
        <v>0</v>
      </c>
      <c r="K892">
        <f t="shared" si="105"/>
        <v>0</v>
      </c>
      <c r="L892" s="1213"/>
      <c r="N892" s="1214" t="str">
        <f t="shared" si="108"/>
        <v xml:space="preserve"> </v>
      </c>
      <c r="O892" s="1215" t="str">
        <f t="shared" si="109"/>
        <v xml:space="preserve"> </v>
      </c>
      <c r="Q892">
        <f t="shared" si="110"/>
        <v>0</v>
      </c>
      <c r="R892">
        <f t="shared" si="111"/>
        <v>0</v>
      </c>
    </row>
    <row r="893" spans="2:18" x14ac:dyDescent="0.2">
      <c r="B893" s="1209"/>
      <c r="C893" s="1210"/>
      <c r="D893" s="939"/>
      <c r="E893" s="1211" t="str">
        <f t="shared" si="106"/>
        <v xml:space="preserve"> </v>
      </c>
      <c r="G893" s="1212" t="str">
        <f t="shared" si="107"/>
        <v xml:space="preserve"> </v>
      </c>
      <c r="H893" s="1201"/>
      <c r="I893">
        <f t="shared" si="104"/>
        <v>0</v>
      </c>
      <c r="K893">
        <f t="shared" si="105"/>
        <v>0</v>
      </c>
      <c r="L893" s="1213"/>
      <c r="N893" s="1214" t="str">
        <f t="shared" si="108"/>
        <v xml:space="preserve"> </v>
      </c>
      <c r="O893" s="1215" t="str">
        <f t="shared" si="109"/>
        <v xml:space="preserve"> </v>
      </c>
      <c r="Q893">
        <f t="shared" si="110"/>
        <v>0</v>
      </c>
      <c r="R893">
        <f t="shared" si="111"/>
        <v>0</v>
      </c>
    </row>
    <row r="894" spans="2:18" x14ac:dyDescent="0.2">
      <c r="B894" s="1209"/>
      <c r="C894" s="1210"/>
      <c r="D894" s="939"/>
      <c r="E894" s="1211" t="str">
        <f t="shared" si="106"/>
        <v xml:space="preserve"> </v>
      </c>
      <c r="G894" s="1212" t="str">
        <f t="shared" si="107"/>
        <v xml:space="preserve"> </v>
      </c>
      <c r="H894" s="1201"/>
      <c r="I894">
        <f t="shared" si="104"/>
        <v>0</v>
      </c>
      <c r="K894">
        <f t="shared" si="105"/>
        <v>0</v>
      </c>
      <c r="L894" s="1213"/>
      <c r="N894" s="1214" t="str">
        <f t="shared" si="108"/>
        <v xml:space="preserve"> </v>
      </c>
      <c r="O894" s="1215" t="str">
        <f t="shared" si="109"/>
        <v xml:space="preserve"> </v>
      </c>
      <c r="Q894">
        <f t="shared" si="110"/>
        <v>0</v>
      </c>
      <c r="R894">
        <f t="shared" si="111"/>
        <v>0</v>
      </c>
    </row>
    <row r="895" spans="2:18" x14ac:dyDescent="0.2">
      <c r="B895" s="1209"/>
      <c r="C895" s="1210"/>
      <c r="D895" s="939"/>
      <c r="E895" s="1211" t="str">
        <f t="shared" si="106"/>
        <v xml:space="preserve"> </v>
      </c>
      <c r="G895" s="1212" t="str">
        <f t="shared" si="107"/>
        <v xml:space="preserve"> </v>
      </c>
      <c r="H895" s="1201"/>
      <c r="I895">
        <f t="shared" si="104"/>
        <v>0</v>
      </c>
      <c r="K895">
        <f t="shared" si="105"/>
        <v>0</v>
      </c>
      <c r="L895" s="1213"/>
      <c r="N895" s="1214" t="str">
        <f t="shared" si="108"/>
        <v xml:space="preserve"> </v>
      </c>
      <c r="O895" s="1215" t="str">
        <f t="shared" si="109"/>
        <v xml:space="preserve"> </v>
      </c>
      <c r="Q895">
        <f t="shared" si="110"/>
        <v>0</v>
      </c>
      <c r="R895">
        <f t="shared" si="111"/>
        <v>0</v>
      </c>
    </row>
    <row r="896" spans="2:18" x14ac:dyDescent="0.2">
      <c r="B896" s="1209"/>
      <c r="C896" s="1210"/>
      <c r="D896" s="939"/>
      <c r="E896" s="1211" t="str">
        <f t="shared" si="106"/>
        <v xml:space="preserve"> </v>
      </c>
      <c r="G896" s="1212" t="str">
        <f t="shared" si="107"/>
        <v xml:space="preserve"> </v>
      </c>
      <c r="H896" s="1201"/>
      <c r="I896">
        <f t="shared" si="104"/>
        <v>0</v>
      </c>
      <c r="K896">
        <f t="shared" si="105"/>
        <v>0</v>
      </c>
      <c r="L896" s="1213"/>
      <c r="N896" s="1214" t="str">
        <f t="shared" si="108"/>
        <v xml:space="preserve"> </v>
      </c>
      <c r="O896" s="1215" t="str">
        <f t="shared" si="109"/>
        <v xml:space="preserve"> </v>
      </c>
      <c r="Q896">
        <f t="shared" si="110"/>
        <v>0</v>
      </c>
      <c r="R896">
        <f t="shared" si="111"/>
        <v>0</v>
      </c>
    </row>
    <row r="897" spans="2:18" x14ac:dyDescent="0.2">
      <c r="B897" s="1209"/>
      <c r="C897" s="1210"/>
      <c r="D897" s="939"/>
      <c r="E897" s="1211" t="str">
        <f t="shared" si="106"/>
        <v xml:space="preserve"> </v>
      </c>
      <c r="G897" s="1212" t="str">
        <f t="shared" si="107"/>
        <v xml:space="preserve"> </v>
      </c>
      <c r="H897" s="1201"/>
      <c r="I897">
        <f t="shared" si="104"/>
        <v>0</v>
      </c>
      <c r="K897">
        <f t="shared" si="105"/>
        <v>0</v>
      </c>
      <c r="L897" s="1213"/>
      <c r="N897" s="1214" t="str">
        <f t="shared" si="108"/>
        <v xml:space="preserve"> </v>
      </c>
      <c r="O897" s="1215" t="str">
        <f t="shared" si="109"/>
        <v xml:space="preserve"> </v>
      </c>
      <c r="Q897">
        <f t="shared" si="110"/>
        <v>0</v>
      </c>
      <c r="R897">
        <f t="shared" si="111"/>
        <v>0</v>
      </c>
    </row>
    <row r="898" spans="2:18" x14ac:dyDescent="0.2">
      <c r="B898" s="1209"/>
      <c r="C898" s="1210"/>
      <c r="D898" s="939"/>
      <c r="E898" s="1211" t="str">
        <f t="shared" si="106"/>
        <v xml:space="preserve"> </v>
      </c>
      <c r="G898" s="1212" t="str">
        <f t="shared" si="107"/>
        <v xml:space="preserve"> </v>
      </c>
      <c r="H898" s="1201"/>
      <c r="I898">
        <f t="shared" si="104"/>
        <v>0</v>
      </c>
      <c r="K898">
        <f t="shared" si="105"/>
        <v>0</v>
      </c>
      <c r="L898" s="1213"/>
      <c r="N898" s="1214" t="str">
        <f t="shared" si="108"/>
        <v xml:space="preserve"> </v>
      </c>
      <c r="O898" s="1215" t="str">
        <f t="shared" si="109"/>
        <v xml:space="preserve"> </v>
      </c>
      <c r="Q898">
        <f t="shared" si="110"/>
        <v>0</v>
      </c>
      <c r="R898">
        <f t="shared" si="111"/>
        <v>0</v>
      </c>
    </row>
    <row r="899" spans="2:18" x14ac:dyDescent="0.2">
      <c r="B899" s="1209"/>
      <c r="C899" s="1210"/>
      <c r="D899" s="939"/>
      <c r="E899" s="1211" t="str">
        <f t="shared" si="106"/>
        <v xml:space="preserve"> </v>
      </c>
      <c r="G899" s="1212" t="str">
        <f t="shared" si="107"/>
        <v xml:space="preserve"> </v>
      </c>
      <c r="H899" s="1201"/>
      <c r="I899">
        <f t="shared" si="104"/>
        <v>0</v>
      </c>
      <c r="K899">
        <f t="shared" si="105"/>
        <v>0</v>
      </c>
      <c r="L899" s="1213"/>
      <c r="N899" s="1214" t="str">
        <f t="shared" si="108"/>
        <v xml:space="preserve"> </v>
      </c>
      <c r="O899" s="1215" t="str">
        <f t="shared" si="109"/>
        <v xml:space="preserve"> </v>
      </c>
      <c r="Q899">
        <f t="shared" si="110"/>
        <v>0</v>
      </c>
      <c r="R899">
        <f t="shared" si="111"/>
        <v>0</v>
      </c>
    </row>
    <row r="900" spans="2:18" x14ac:dyDescent="0.2">
      <c r="B900" s="1209"/>
      <c r="C900" s="1210"/>
      <c r="D900" s="939"/>
      <c r="E900" s="1211" t="str">
        <f t="shared" si="106"/>
        <v xml:space="preserve"> </v>
      </c>
      <c r="G900" s="1212" t="str">
        <f t="shared" si="107"/>
        <v xml:space="preserve"> </v>
      </c>
      <c r="H900" s="1201"/>
      <c r="I900">
        <f t="shared" si="104"/>
        <v>0</v>
      </c>
      <c r="K900">
        <f t="shared" si="105"/>
        <v>0</v>
      </c>
      <c r="L900" s="1213"/>
      <c r="N900" s="1214" t="str">
        <f t="shared" si="108"/>
        <v xml:space="preserve"> </v>
      </c>
      <c r="O900" s="1215" t="str">
        <f t="shared" si="109"/>
        <v xml:space="preserve"> </v>
      </c>
      <c r="Q900">
        <f t="shared" si="110"/>
        <v>0</v>
      </c>
      <c r="R900">
        <f t="shared" si="111"/>
        <v>0</v>
      </c>
    </row>
    <row r="901" spans="2:18" x14ac:dyDescent="0.2">
      <c r="B901" s="1209"/>
      <c r="C901" s="1210"/>
      <c r="D901" s="939"/>
      <c r="E901" s="1211" t="str">
        <f t="shared" si="106"/>
        <v xml:space="preserve"> </v>
      </c>
      <c r="G901" s="1212" t="str">
        <f t="shared" si="107"/>
        <v xml:space="preserve"> </v>
      </c>
      <c r="H901" s="1201"/>
      <c r="I901">
        <f t="shared" si="104"/>
        <v>0</v>
      </c>
      <c r="K901">
        <f t="shared" si="105"/>
        <v>0</v>
      </c>
      <c r="L901" s="1213"/>
      <c r="N901" s="1214" t="str">
        <f t="shared" si="108"/>
        <v xml:space="preserve"> </v>
      </c>
      <c r="O901" s="1215" t="str">
        <f t="shared" si="109"/>
        <v xml:space="preserve"> </v>
      </c>
      <c r="Q901">
        <f t="shared" si="110"/>
        <v>0</v>
      </c>
      <c r="R901">
        <f t="shared" si="111"/>
        <v>0</v>
      </c>
    </row>
    <row r="902" spans="2:18" x14ac:dyDescent="0.2">
      <c r="B902" s="1209"/>
      <c r="C902" s="1210"/>
      <c r="D902" s="939"/>
      <c r="E902" s="1211" t="str">
        <f t="shared" si="106"/>
        <v xml:space="preserve"> </v>
      </c>
      <c r="G902" s="1212" t="str">
        <f t="shared" si="107"/>
        <v xml:space="preserve"> </v>
      </c>
      <c r="H902" s="1201"/>
      <c r="I902">
        <f t="shared" si="104"/>
        <v>0</v>
      </c>
      <c r="K902">
        <f t="shared" si="105"/>
        <v>0</v>
      </c>
      <c r="L902" s="1213"/>
      <c r="N902" s="1214" t="str">
        <f t="shared" si="108"/>
        <v xml:space="preserve"> </v>
      </c>
      <c r="O902" s="1215" t="str">
        <f t="shared" si="109"/>
        <v xml:space="preserve"> </v>
      </c>
      <c r="Q902">
        <f t="shared" si="110"/>
        <v>0</v>
      </c>
      <c r="R902">
        <f t="shared" si="111"/>
        <v>0</v>
      </c>
    </row>
    <row r="903" spans="2:18" x14ac:dyDescent="0.2">
      <c r="B903" s="1209"/>
      <c r="C903" s="1210"/>
      <c r="D903" s="939"/>
      <c r="E903" s="1211" t="str">
        <f t="shared" si="106"/>
        <v xml:space="preserve"> </v>
      </c>
      <c r="G903" s="1212" t="str">
        <f t="shared" si="107"/>
        <v xml:space="preserve"> </v>
      </c>
      <c r="H903" s="1201"/>
      <c r="I903">
        <f t="shared" si="104"/>
        <v>0</v>
      </c>
      <c r="K903">
        <f t="shared" si="105"/>
        <v>0</v>
      </c>
      <c r="L903" s="1213"/>
      <c r="N903" s="1214" t="str">
        <f t="shared" si="108"/>
        <v xml:space="preserve"> </v>
      </c>
      <c r="O903" s="1215" t="str">
        <f t="shared" si="109"/>
        <v xml:space="preserve"> </v>
      </c>
      <c r="Q903">
        <f t="shared" si="110"/>
        <v>0</v>
      </c>
      <c r="R903">
        <f t="shared" si="111"/>
        <v>0</v>
      </c>
    </row>
    <row r="904" spans="2:18" x14ac:dyDescent="0.2">
      <c r="B904" s="1209"/>
      <c r="C904" s="1210"/>
      <c r="D904" s="939"/>
      <c r="E904" s="1211" t="str">
        <f t="shared" si="106"/>
        <v xml:space="preserve"> </v>
      </c>
      <c r="G904" s="1212" t="str">
        <f t="shared" si="107"/>
        <v xml:space="preserve"> </v>
      </c>
      <c r="H904" s="1201"/>
      <c r="I904">
        <f t="shared" ref="I904:I967" si="112">(J904+C904)/12</f>
        <v>0</v>
      </c>
      <c r="K904">
        <f t="shared" ref="K904:K967" si="113">I904+B904</f>
        <v>0</v>
      </c>
      <c r="L904" s="1213"/>
      <c r="N904" s="1214" t="str">
        <f t="shared" si="108"/>
        <v xml:space="preserve"> </v>
      </c>
      <c r="O904" s="1215" t="str">
        <f t="shared" si="109"/>
        <v xml:space="preserve"> </v>
      </c>
      <c r="Q904">
        <f t="shared" si="110"/>
        <v>0</v>
      </c>
      <c r="R904">
        <f t="shared" si="111"/>
        <v>0</v>
      </c>
    </row>
    <row r="905" spans="2:18" x14ac:dyDescent="0.2">
      <c r="B905" s="1209"/>
      <c r="C905" s="1210"/>
      <c r="D905" s="939"/>
      <c r="E905" s="1211" t="str">
        <f t="shared" si="106"/>
        <v xml:space="preserve"> </v>
      </c>
      <c r="G905" s="1212" t="str">
        <f t="shared" si="107"/>
        <v xml:space="preserve"> </v>
      </c>
      <c r="H905" s="1201"/>
      <c r="I905">
        <f t="shared" si="112"/>
        <v>0</v>
      </c>
      <c r="K905">
        <f t="shared" si="113"/>
        <v>0</v>
      </c>
      <c r="L905" s="1213"/>
      <c r="N905" s="1214" t="str">
        <f t="shared" si="108"/>
        <v xml:space="preserve"> </v>
      </c>
      <c r="O905" s="1215" t="str">
        <f t="shared" si="109"/>
        <v xml:space="preserve"> </v>
      </c>
      <c r="Q905">
        <f t="shared" si="110"/>
        <v>0</v>
      </c>
      <c r="R905">
        <f t="shared" si="111"/>
        <v>0</v>
      </c>
    </row>
    <row r="906" spans="2:18" x14ac:dyDescent="0.2">
      <c r="B906" s="1209"/>
      <c r="C906" s="1210"/>
      <c r="D906" s="939"/>
      <c r="E906" s="1211" t="str">
        <f t="shared" ref="E906:E969" si="114">IF(K906=0," ",IF(K906&gt;0,K906*12*25.4))</f>
        <v xml:space="preserve"> </v>
      </c>
      <c r="G906" s="1212" t="str">
        <f t="shared" ref="G906:G969" si="115">IF(K906=0," ",IF(K906&gt;0,E906/1000))</f>
        <v xml:space="preserve"> </v>
      </c>
      <c r="H906" s="1201"/>
      <c r="I906">
        <f t="shared" si="112"/>
        <v>0</v>
      </c>
      <c r="K906">
        <f t="shared" si="113"/>
        <v>0</v>
      </c>
      <c r="L906" s="1213"/>
      <c r="N906" s="1214" t="str">
        <f t="shared" ref="N906:N969" si="116">IF(R906=0," ",IF(R906&gt;0,TRUNC(R906)))</f>
        <v xml:space="preserve"> </v>
      </c>
      <c r="O906" s="1215" t="str">
        <f t="shared" ref="O906:O969" si="117">IF(R906=0," ",IF(R906&gt;0,(R906-N906)*12))</f>
        <v xml:space="preserve"> </v>
      </c>
      <c r="Q906">
        <f t="shared" ref="Q906:Q969" si="118">L906/25.4</f>
        <v>0</v>
      </c>
      <c r="R906">
        <f t="shared" ref="R906:R969" si="119">Q906/12</f>
        <v>0</v>
      </c>
    </row>
    <row r="907" spans="2:18" x14ac:dyDescent="0.2">
      <c r="B907" s="1209"/>
      <c r="C907" s="1210"/>
      <c r="D907" s="939"/>
      <c r="E907" s="1211" t="str">
        <f t="shared" si="114"/>
        <v xml:space="preserve"> </v>
      </c>
      <c r="G907" s="1212" t="str">
        <f t="shared" si="115"/>
        <v xml:space="preserve"> </v>
      </c>
      <c r="H907" s="1201"/>
      <c r="I907">
        <f t="shared" si="112"/>
        <v>0</v>
      </c>
      <c r="K907">
        <f t="shared" si="113"/>
        <v>0</v>
      </c>
      <c r="L907" s="1213"/>
      <c r="N907" s="1214" t="str">
        <f t="shared" si="116"/>
        <v xml:space="preserve"> </v>
      </c>
      <c r="O907" s="1215" t="str">
        <f t="shared" si="117"/>
        <v xml:space="preserve"> </v>
      </c>
      <c r="Q907">
        <f t="shared" si="118"/>
        <v>0</v>
      </c>
      <c r="R907">
        <f t="shared" si="119"/>
        <v>0</v>
      </c>
    </row>
    <row r="908" spans="2:18" x14ac:dyDescent="0.2">
      <c r="B908" s="1209"/>
      <c r="C908" s="1210"/>
      <c r="D908" s="939"/>
      <c r="E908" s="1211" t="str">
        <f t="shared" si="114"/>
        <v xml:space="preserve"> </v>
      </c>
      <c r="G908" s="1212" t="str">
        <f t="shared" si="115"/>
        <v xml:space="preserve"> </v>
      </c>
      <c r="H908" s="1201"/>
      <c r="I908">
        <f t="shared" si="112"/>
        <v>0</v>
      </c>
      <c r="K908">
        <f t="shared" si="113"/>
        <v>0</v>
      </c>
      <c r="L908" s="1213"/>
      <c r="N908" s="1214" t="str">
        <f t="shared" si="116"/>
        <v xml:space="preserve"> </v>
      </c>
      <c r="O908" s="1215" t="str">
        <f t="shared" si="117"/>
        <v xml:space="preserve"> </v>
      </c>
      <c r="Q908">
        <f t="shared" si="118"/>
        <v>0</v>
      </c>
      <c r="R908">
        <f t="shared" si="119"/>
        <v>0</v>
      </c>
    </row>
    <row r="909" spans="2:18" x14ac:dyDescent="0.2">
      <c r="B909" s="1209"/>
      <c r="C909" s="1210"/>
      <c r="D909" s="939"/>
      <c r="E909" s="1211" t="str">
        <f t="shared" si="114"/>
        <v xml:space="preserve"> </v>
      </c>
      <c r="G909" s="1212" t="str">
        <f t="shared" si="115"/>
        <v xml:space="preserve"> </v>
      </c>
      <c r="H909" s="1201"/>
      <c r="I909">
        <f t="shared" si="112"/>
        <v>0</v>
      </c>
      <c r="K909">
        <f t="shared" si="113"/>
        <v>0</v>
      </c>
      <c r="L909" s="1213"/>
      <c r="N909" s="1214" t="str">
        <f t="shared" si="116"/>
        <v xml:space="preserve"> </v>
      </c>
      <c r="O909" s="1215" t="str">
        <f t="shared" si="117"/>
        <v xml:space="preserve"> </v>
      </c>
      <c r="Q909">
        <f t="shared" si="118"/>
        <v>0</v>
      </c>
      <c r="R909">
        <f t="shared" si="119"/>
        <v>0</v>
      </c>
    </row>
    <row r="910" spans="2:18" x14ac:dyDescent="0.2">
      <c r="B910" s="1209"/>
      <c r="C910" s="1210"/>
      <c r="D910" s="939"/>
      <c r="E910" s="1211" t="str">
        <f t="shared" si="114"/>
        <v xml:space="preserve"> </v>
      </c>
      <c r="G910" s="1212" t="str">
        <f t="shared" si="115"/>
        <v xml:space="preserve"> </v>
      </c>
      <c r="H910" s="1201"/>
      <c r="I910">
        <f t="shared" si="112"/>
        <v>0</v>
      </c>
      <c r="K910">
        <f t="shared" si="113"/>
        <v>0</v>
      </c>
      <c r="L910" s="1213"/>
      <c r="N910" s="1214" t="str">
        <f t="shared" si="116"/>
        <v xml:space="preserve"> </v>
      </c>
      <c r="O910" s="1215" t="str">
        <f t="shared" si="117"/>
        <v xml:space="preserve"> </v>
      </c>
      <c r="Q910">
        <f t="shared" si="118"/>
        <v>0</v>
      </c>
      <c r="R910">
        <f t="shared" si="119"/>
        <v>0</v>
      </c>
    </row>
    <row r="911" spans="2:18" x14ac:dyDescent="0.2">
      <c r="B911" s="1209"/>
      <c r="C911" s="1210"/>
      <c r="D911" s="939"/>
      <c r="E911" s="1211" t="str">
        <f t="shared" si="114"/>
        <v xml:space="preserve"> </v>
      </c>
      <c r="G911" s="1212" t="str">
        <f t="shared" si="115"/>
        <v xml:space="preserve"> </v>
      </c>
      <c r="H911" s="1201"/>
      <c r="I911">
        <f t="shared" si="112"/>
        <v>0</v>
      </c>
      <c r="K911">
        <f t="shared" si="113"/>
        <v>0</v>
      </c>
      <c r="L911" s="1213"/>
      <c r="N911" s="1214" t="str">
        <f t="shared" si="116"/>
        <v xml:space="preserve"> </v>
      </c>
      <c r="O911" s="1215" t="str">
        <f t="shared" si="117"/>
        <v xml:space="preserve"> </v>
      </c>
      <c r="Q911">
        <f t="shared" si="118"/>
        <v>0</v>
      </c>
      <c r="R911">
        <f t="shared" si="119"/>
        <v>0</v>
      </c>
    </row>
    <row r="912" spans="2:18" x14ac:dyDescent="0.2">
      <c r="B912" s="1209"/>
      <c r="C912" s="1210"/>
      <c r="D912" s="939"/>
      <c r="E912" s="1211" t="str">
        <f t="shared" si="114"/>
        <v xml:space="preserve"> </v>
      </c>
      <c r="G912" s="1212" t="str">
        <f t="shared" si="115"/>
        <v xml:space="preserve"> </v>
      </c>
      <c r="H912" s="1201"/>
      <c r="I912">
        <f t="shared" si="112"/>
        <v>0</v>
      </c>
      <c r="K912">
        <f t="shared" si="113"/>
        <v>0</v>
      </c>
      <c r="L912" s="1213"/>
      <c r="N912" s="1214" t="str">
        <f t="shared" si="116"/>
        <v xml:space="preserve"> </v>
      </c>
      <c r="O912" s="1215" t="str">
        <f t="shared" si="117"/>
        <v xml:space="preserve"> </v>
      </c>
      <c r="Q912">
        <f t="shared" si="118"/>
        <v>0</v>
      </c>
      <c r="R912">
        <f t="shared" si="119"/>
        <v>0</v>
      </c>
    </row>
    <row r="913" spans="2:18" x14ac:dyDescent="0.2">
      <c r="B913" s="1209"/>
      <c r="C913" s="1210"/>
      <c r="D913" s="939"/>
      <c r="E913" s="1211" t="str">
        <f t="shared" si="114"/>
        <v xml:space="preserve"> </v>
      </c>
      <c r="G913" s="1212" t="str">
        <f t="shared" si="115"/>
        <v xml:space="preserve"> </v>
      </c>
      <c r="H913" s="1201"/>
      <c r="I913">
        <f t="shared" si="112"/>
        <v>0</v>
      </c>
      <c r="K913">
        <f t="shared" si="113"/>
        <v>0</v>
      </c>
      <c r="L913" s="1213"/>
      <c r="N913" s="1214" t="str">
        <f t="shared" si="116"/>
        <v xml:space="preserve"> </v>
      </c>
      <c r="O913" s="1215" t="str">
        <f t="shared" si="117"/>
        <v xml:space="preserve"> </v>
      </c>
      <c r="Q913">
        <f t="shared" si="118"/>
        <v>0</v>
      </c>
      <c r="R913">
        <f t="shared" si="119"/>
        <v>0</v>
      </c>
    </row>
    <row r="914" spans="2:18" x14ac:dyDescent="0.2">
      <c r="B914" s="1209"/>
      <c r="C914" s="1210"/>
      <c r="D914" s="939"/>
      <c r="E914" s="1211" t="str">
        <f t="shared" si="114"/>
        <v xml:space="preserve"> </v>
      </c>
      <c r="G914" s="1212" t="str">
        <f t="shared" si="115"/>
        <v xml:space="preserve"> </v>
      </c>
      <c r="H914" s="1201"/>
      <c r="I914">
        <f t="shared" si="112"/>
        <v>0</v>
      </c>
      <c r="K914">
        <f t="shared" si="113"/>
        <v>0</v>
      </c>
      <c r="L914" s="1213"/>
      <c r="N914" s="1214" t="str">
        <f t="shared" si="116"/>
        <v xml:space="preserve"> </v>
      </c>
      <c r="O914" s="1215" t="str">
        <f t="shared" si="117"/>
        <v xml:space="preserve"> </v>
      </c>
      <c r="Q914">
        <f t="shared" si="118"/>
        <v>0</v>
      </c>
      <c r="R914">
        <f t="shared" si="119"/>
        <v>0</v>
      </c>
    </row>
    <row r="915" spans="2:18" x14ac:dyDescent="0.2">
      <c r="B915" s="1209"/>
      <c r="C915" s="1210"/>
      <c r="D915" s="939"/>
      <c r="E915" s="1211" t="str">
        <f t="shared" si="114"/>
        <v xml:space="preserve"> </v>
      </c>
      <c r="G915" s="1212" t="str">
        <f t="shared" si="115"/>
        <v xml:space="preserve"> </v>
      </c>
      <c r="H915" s="1201"/>
      <c r="I915">
        <f t="shared" si="112"/>
        <v>0</v>
      </c>
      <c r="K915">
        <f t="shared" si="113"/>
        <v>0</v>
      </c>
      <c r="L915" s="1213"/>
      <c r="N915" s="1214" t="str">
        <f t="shared" si="116"/>
        <v xml:space="preserve"> </v>
      </c>
      <c r="O915" s="1215" t="str">
        <f t="shared" si="117"/>
        <v xml:space="preserve"> </v>
      </c>
      <c r="Q915">
        <f t="shared" si="118"/>
        <v>0</v>
      </c>
      <c r="R915">
        <f t="shared" si="119"/>
        <v>0</v>
      </c>
    </row>
    <row r="916" spans="2:18" x14ac:dyDescent="0.2">
      <c r="B916" s="1209"/>
      <c r="C916" s="1210"/>
      <c r="D916" s="939"/>
      <c r="E916" s="1211" t="str">
        <f t="shared" si="114"/>
        <v xml:space="preserve"> </v>
      </c>
      <c r="G916" s="1212" t="str">
        <f t="shared" si="115"/>
        <v xml:space="preserve"> </v>
      </c>
      <c r="H916" s="1201"/>
      <c r="I916">
        <f t="shared" si="112"/>
        <v>0</v>
      </c>
      <c r="K916">
        <f t="shared" si="113"/>
        <v>0</v>
      </c>
      <c r="L916" s="1213"/>
      <c r="N916" s="1214" t="str">
        <f t="shared" si="116"/>
        <v xml:space="preserve"> </v>
      </c>
      <c r="O916" s="1215" t="str">
        <f t="shared" si="117"/>
        <v xml:space="preserve"> </v>
      </c>
      <c r="Q916">
        <f t="shared" si="118"/>
        <v>0</v>
      </c>
      <c r="R916">
        <f t="shared" si="119"/>
        <v>0</v>
      </c>
    </row>
    <row r="917" spans="2:18" x14ac:dyDescent="0.2">
      <c r="B917" s="1209"/>
      <c r="C917" s="1210"/>
      <c r="D917" s="939"/>
      <c r="E917" s="1211" t="str">
        <f t="shared" si="114"/>
        <v xml:space="preserve"> </v>
      </c>
      <c r="G917" s="1212" t="str">
        <f t="shared" si="115"/>
        <v xml:space="preserve"> </v>
      </c>
      <c r="H917" s="1201"/>
      <c r="I917">
        <f t="shared" si="112"/>
        <v>0</v>
      </c>
      <c r="K917">
        <f t="shared" si="113"/>
        <v>0</v>
      </c>
      <c r="L917" s="1213"/>
      <c r="N917" s="1214" t="str">
        <f t="shared" si="116"/>
        <v xml:space="preserve"> </v>
      </c>
      <c r="O917" s="1215" t="str">
        <f t="shared" si="117"/>
        <v xml:space="preserve"> </v>
      </c>
      <c r="Q917">
        <f t="shared" si="118"/>
        <v>0</v>
      </c>
      <c r="R917">
        <f t="shared" si="119"/>
        <v>0</v>
      </c>
    </row>
    <row r="918" spans="2:18" x14ac:dyDescent="0.2">
      <c r="B918" s="1209"/>
      <c r="C918" s="1210"/>
      <c r="D918" s="939"/>
      <c r="E918" s="1211" t="str">
        <f t="shared" si="114"/>
        <v xml:space="preserve"> </v>
      </c>
      <c r="G918" s="1212" t="str">
        <f t="shared" si="115"/>
        <v xml:space="preserve"> </v>
      </c>
      <c r="H918" s="1201"/>
      <c r="I918">
        <f t="shared" si="112"/>
        <v>0</v>
      </c>
      <c r="K918">
        <f t="shared" si="113"/>
        <v>0</v>
      </c>
      <c r="L918" s="1213"/>
      <c r="N918" s="1214" t="str">
        <f t="shared" si="116"/>
        <v xml:space="preserve"> </v>
      </c>
      <c r="O918" s="1215" t="str">
        <f t="shared" si="117"/>
        <v xml:space="preserve"> </v>
      </c>
      <c r="Q918">
        <f t="shared" si="118"/>
        <v>0</v>
      </c>
      <c r="R918">
        <f t="shared" si="119"/>
        <v>0</v>
      </c>
    </row>
    <row r="919" spans="2:18" x14ac:dyDescent="0.2">
      <c r="B919" s="1209"/>
      <c r="C919" s="1210"/>
      <c r="D919" s="939"/>
      <c r="E919" s="1211" t="str">
        <f t="shared" si="114"/>
        <v xml:space="preserve"> </v>
      </c>
      <c r="G919" s="1212" t="str">
        <f t="shared" si="115"/>
        <v xml:space="preserve"> </v>
      </c>
      <c r="H919" s="1201"/>
      <c r="I919">
        <f t="shared" si="112"/>
        <v>0</v>
      </c>
      <c r="K919">
        <f t="shared" si="113"/>
        <v>0</v>
      </c>
      <c r="L919" s="1213"/>
      <c r="N919" s="1214" t="str">
        <f t="shared" si="116"/>
        <v xml:space="preserve"> </v>
      </c>
      <c r="O919" s="1215" t="str">
        <f t="shared" si="117"/>
        <v xml:space="preserve"> </v>
      </c>
      <c r="Q919">
        <f t="shared" si="118"/>
        <v>0</v>
      </c>
      <c r="R919">
        <f t="shared" si="119"/>
        <v>0</v>
      </c>
    </row>
    <row r="920" spans="2:18" x14ac:dyDescent="0.2">
      <c r="B920" s="1209"/>
      <c r="C920" s="1210"/>
      <c r="D920" s="939"/>
      <c r="E920" s="1211" t="str">
        <f t="shared" si="114"/>
        <v xml:space="preserve"> </v>
      </c>
      <c r="G920" s="1212" t="str">
        <f t="shared" si="115"/>
        <v xml:space="preserve"> </v>
      </c>
      <c r="H920" s="1201"/>
      <c r="I920">
        <f t="shared" si="112"/>
        <v>0</v>
      </c>
      <c r="K920">
        <f t="shared" si="113"/>
        <v>0</v>
      </c>
      <c r="L920" s="1213"/>
      <c r="N920" s="1214" t="str">
        <f t="shared" si="116"/>
        <v xml:space="preserve"> </v>
      </c>
      <c r="O920" s="1215" t="str">
        <f t="shared" si="117"/>
        <v xml:space="preserve"> </v>
      </c>
      <c r="Q920">
        <f t="shared" si="118"/>
        <v>0</v>
      </c>
      <c r="R920">
        <f t="shared" si="119"/>
        <v>0</v>
      </c>
    </row>
    <row r="921" spans="2:18" x14ac:dyDescent="0.2">
      <c r="B921" s="1209"/>
      <c r="C921" s="1210"/>
      <c r="D921" s="939"/>
      <c r="E921" s="1211" t="str">
        <f t="shared" si="114"/>
        <v xml:space="preserve"> </v>
      </c>
      <c r="G921" s="1212" t="str">
        <f t="shared" si="115"/>
        <v xml:space="preserve"> </v>
      </c>
      <c r="H921" s="1201"/>
      <c r="I921">
        <f t="shared" si="112"/>
        <v>0</v>
      </c>
      <c r="K921">
        <f t="shared" si="113"/>
        <v>0</v>
      </c>
      <c r="L921" s="1213"/>
      <c r="N921" s="1214" t="str">
        <f t="shared" si="116"/>
        <v xml:space="preserve"> </v>
      </c>
      <c r="O921" s="1215" t="str">
        <f t="shared" si="117"/>
        <v xml:space="preserve"> </v>
      </c>
      <c r="Q921">
        <f t="shared" si="118"/>
        <v>0</v>
      </c>
      <c r="R921">
        <f t="shared" si="119"/>
        <v>0</v>
      </c>
    </row>
    <row r="922" spans="2:18" x14ac:dyDescent="0.2">
      <c r="B922" s="1209"/>
      <c r="C922" s="1210"/>
      <c r="D922" s="939"/>
      <c r="E922" s="1211" t="str">
        <f t="shared" si="114"/>
        <v xml:space="preserve"> </v>
      </c>
      <c r="G922" s="1212" t="str">
        <f t="shared" si="115"/>
        <v xml:space="preserve"> </v>
      </c>
      <c r="H922" s="1201"/>
      <c r="I922">
        <f t="shared" si="112"/>
        <v>0</v>
      </c>
      <c r="K922">
        <f t="shared" si="113"/>
        <v>0</v>
      </c>
      <c r="L922" s="1213"/>
      <c r="N922" s="1214" t="str">
        <f t="shared" si="116"/>
        <v xml:space="preserve"> </v>
      </c>
      <c r="O922" s="1215" t="str">
        <f t="shared" si="117"/>
        <v xml:space="preserve"> </v>
      </c>
      <c r="Q922">
        <f t="shared" si="118"/>
        <v>0</v>
      </c>
      <c r="R922">
        <f t="shared" si="119"/>
        <v>0</v>
      </c>
    </row>
    <row r="923" spans="2:18" x14ac:dyDescent="0.2">
      <c r="B923" s="1209"/>
      <c r="C923" s="1210"/>
      <c r="D923" s="939"/>
      <c r="E923" s="1211" t="str">
        <f t="shared" si="114"/>
        <v xml:space="preserve"> </v>
      </c>
      <c r="G923" s="1212" t="str">
        <f t="shared" si="115"/>
        <v xml:space="preserve"> </v>
      </c>
      <c r="H923" s="1201"/>
      <c r="I923">
        <f t="shared" si="112"/>
        <v>0</v>
      </c>
      <c r="K923">
        <f t="shared" si="113"/>
        <v>0</v>
      </c>
      <c r="L923" s="1213"/>
      <c r="N923" s="1214" t="str">
        <f t="shared" si="116"/>
        <v xml:space="preserve"> </v>
      </c>
      <c r="O923" s="1215" t="str">
        <f t="shared" si="117"/>
        <v xml:space="preserve"> </v>
      </c>
      <c r="Q923">
        <f t="shared" si="118"/>
        <v>0</v>
      </c>
      <c r="R923">
        <f t="shared" si="119"/>
        <v>0</v>
      </c>
    </row>
    <row r="924" spans="2:18" x14ac:dyDescent="0.2">
      <c r="B924" s="1209"/>
      <c r="C924" s="1210"/>
      <c r="D924" s="939"/>
      <c r="E924" s="1211" t="str">
        <f t="shared" si="114"/>
        <v xml:space="preserve"> </v>
      </c>
      <c r="G924" s="1212" t="str">
        <f t="shared" si="115"/>
        <v xml:space="preserve"> </v>
      </c>
      <c r="H924" s="1201"/>
      <c r="I924">
        <f t="shared" si="112"/>
        <v>0</v>
      </c>
      <c r="K924">
        <f t="shared" si="113"/>
        <v>0</v>
      </c>
      <c r="L924" s="1213"/>
      <c r="N924" s="1214" t="str">
        <f t="shared" si="116"/>
        <v xml:space="preserve"> </v>
      </c>
      <c r="O924" s="1215" t="str">
        <f t="shared" si="117"/>
        <v xml:space="preserve"> </v>
      </c>
      <c r="Q924">
        <f t="shared" si="118"/>
        <v>0</v>
      </c>
      <c r="R924">
        <f t="shared" si="119"/>
        <v>0</v>
      </c>
    </row>
    <row r="925" spans="2:18" x14ac:dyDescent="0.2">
      <c r="B925" s="1209"/>
      <c r="C925" s="1210"/>
      <c r="D925" s="939"/>
      <c r="E925" s="1211" t="str">
        <f t="shared" si="114"/>
        <v xml:space="preserve"> </v>
      </c>
      <c r="G925" s="1212" t="str">
        <f t="shared" si="115"/>
        <v xml:space="preserve"> </v>
      </c>
      <c r="H925" s="1201"/>
      <c r="I925">
        <f t="shared" si="112"/>
        <v>0</v>
      </c>
      <c r="K925">
        <f t="shared" si="113"/>
        <v>0</v>
      </c>
      <c r="L925" s="1213"/>
      <c r="N925" s="1214" t="str">
        <f t="shared" si="116"/>
        <v xml:space="preserve"> </v>
      </c>
      <c r="O925" s="1215" t="str">
        <f t="shared" si="117"/>
        <v xml:space="preserve"> </v>
      </c>
      <c r="Q925">
        <f t="shared" si="118"/>
        <v>0</v>
      </c>
      <c r="R925">
        <f t="shared" si="119"/>
        <v>0</v>
      </c>
    </row>
    <row r="926" spans="2:18" x14ac:dyDescent="0.2">
      <c r="B926" s="1209"/>
      <c r="C926" s="1210"/>
      <c r="D926" s="939"/>
      <c r="E926" s="1211" t="str">
        <f t="shared" si="114"/>
        <v xml:space="preserve"> </v>
      </c>
      <c r="G926" s="1212" t="str">
        <f t="shared" si="115"/>
        <v xml:space="preserve"> </v>
      </c>
      <c r="H926" s="1201"/>
      <c r="I926">
        <f t="shared" si="112"/>
        <v>0</v>
      </c>
      <c r="K926">
        <f t="shared" si="113"/>
        <v>0</v>
      </c>
      <c r="L926" s="1213"/>
      <c r="N926" s="1214" t="str">
        <f t="shared" si="116"/>
        <v xml:space="preserve"> </v>
      </c>
      <c r="O926" s="1215" t="str">
        <f t="shared" si="117"/>
        <v xml:space="preserve"> </v>
      </c>
      <c r="Q926">
        <f t="shared" si="118"/>
        <v>0</v>
      </c>
      <c r="R926">
        <f t="shared" si="119"/>
        <v>0</v>
      </c>
    </row>
    <row r="927" spans="2:18" x14ac:dyDescent="0.2">
      <c r="B927" s="1209"/>
      <c r="C927" s="1210"/>
      <c r="D927" s="939"/>
      <c r="E927" s="1211" t="str">
        <f t="shared" si="114"/>
        <v xml:space="preserve"> </v>
      </c>
      <c r="G927" s="1212" t="str">
        <f t="shared" si="115"/>
        <v xml:space="preserve"> </v>
      </c>
      <c r="H927" s="1201"/>
      <c r="I927">
        <f t="shared" si="112"/>
        <v>0</v>
      </c>
      <c r="K927">
        <f t="shared" si="113"/>
        <v>0</v>
      </c>
      <c r="L927" s="1213"/>
      <c r="N927" s="1214" t="str">
        <f t="shared" si="116"/>
        <v xml:space="preserve"> </v>
      </c>
      <c r="O927" s="1215" t="str">
        <f t="shared" si="117"/>
        <v xml:space="preserve"> </v>
      </c>
      <c r="Q927">
        <f t="shared" si="118"/>
        <v>0</v>
      </c>
      <c r="R927">
        <f t="shared" si="119"/>
        <v>0</v>
      </c>
    </row>
    <row r="928" spans="2:18" x14ac:dyDescent="0.2">
      <c r="B928" s="1209"/>
      <c r="C928" s="1210"/>
      <c r="D928" s="939"/>
      <c r="E928" s="1211" t="str">
        <f t="shared" si="114"/>
        <v xml:space="preserve"> </v>
      </c>
      <c r="G928" s="1212" t="str">
        <f t="shared" si="115"/>
        <v xml:space="preserve"> </v>
      </c>
      <c r="H928" s="1201"/>
      <c r="I928">
        <f t="shared" si="112"/>
        <v>0</v>
      </c>
      <c r="K928">
        <f t="shared" si="113"/>
        <v>0</v>
      </c>
      <c r="L928" s="1213"/>
      <c r="N928" s="1214" t="str">
        <f t="shared" si="116"/>
        <v xml:space="preserve"> </v>
      </c>
      <c r="O928" s="1215" t="str">
        <f t="shared" si="117"/>
        <v xml:space="preserve"> </v>
      </c>
      <c r="Q928">
        <f t="shared" si="118"/>
        <v>0</v>
      </c>
      <c r="R928">
        <f t="shared" si="119"/>
        <v>0</v>
      </c>
    </row>
    <row r="929" spans="2:18" x14ac:dyDescent="0.2">
      <c r="B929" s="1209"/>
      <c r="C929" s="1210"/>
      <c r="D929" s="939"/>
      <c r="E929" s="1211" t="str">
        <f t="shared" si="114"/>
        <v xml:space="preserve"> </v>
      </c>
      <c r="G929" s="1212" t="str">
        <f t="shared" si="115"/>
        <v xml:space="preserve"> </v>
      </c>
      <c r="H929" s="1201"/>
      <c r="I929">
        <f t="shared" si="112"/>
        <v>0</v>
      </c>
      <c r="K929">
        <f t="shared" si="113"/>
        <v>0</v>
      </c>
      <c r="L929" s="1213"/>
      <c r="N929" s="1214" t="str">
        <f t="shared" si="116"/>
        <v xml:space="preserve"> </v>
      </c>
      <c r="O929" s="1215" t="str">
        <f t="shared" si="117"/>
        <v xml:space="preserve"> </v>
      </c>
      <c r="Q929">
        <f t="shared" si="118"/>
        <v>0</v>
      </c>
      <c r="R929">
        <f t="shared" si="119"/>
        <v>0</v>
      </c>
    </row>
    <row r="930" spans="2:18" x14ac:dyDescent="0.2">
      <c r="B930" s="1209"/>
      <c r="C930" s="1210"/>
      <c r="D930" s="939"/>
      <c r="E930" s="1211" t="str">
        <f t="shared" si="114"/>
        <v xml:space="preserve"> </v>
      </c>
      <c r="G930" s="1212" t="str">
        <f t="shared" si="115"/>
        <v xml:space="preserve"> </v>
      </c>
      <c r="H930" s="1201"/>
      <c r="I930">
        <f t="shared" si="112"/>
        <v>0</v>
      </c>
      <c r="K930">
        <f t="shared" si="113"/>
        <v>0</v>
      </c>
      <c r="L930" s="1213"/>
      <c r="N930" s="1214" t="str">
        <f t="shared" si="116"/>
        <v xml:space="preserve"> </v>
      </c>
      <c r="O930" s="1215" t="str">
        <f t="shared" si="117"/>
        <v xml:space="preserve"> </v>
      </c>
      <c r="Q930">
        <f t="shared" si="118"/>
        <v>0</v>
      </c>
      <c r="R930">
        <f t="shared" si="119"/>
        <v>0</v>
      </c>
    </row>
    <row r="931" spans="2:18" x14ac:dyDescent="0.2">
      <c r="B931" s="1209"/>
      <c r="C931" s="1210"/>
      <c r="D931" s="939"/>
      <c r="E931" s="1211" t="str">
        <f t="shared" si="114"/>
        <v xml:space="preserve"> </v>
      </c>
      <c r="G931" s="1212" t="str">
        <f t="shared" si="115"/>
        <v xml:space="preserve"> </v>
      </c>
      <c r="H931" s="1201"/>
      <c r="I931">
        <f t="shared" si="112"/>
        <v>0</v>
      </c>
      <c r="K931">
        <f t="shared" si="113"/>
        <v>0</v>
      </c>
      <c r="L931" s="1213"/>
      <c r="N931" s="1214" t="str">
        <f t="shared" si="116"/>
        <v xml:space="preserve"> </v>
      </c>
      <c r="O931" s="1215" t="str">
        <f t="shared" si="117"/>
        <v xml:space="preserve"> </v>
      </c>
      <c r="Q931">
        <f t="shared" si="118"/>
        <v>0</v>
      </c>
      <c r="R931">
        <f t="shared" si="119"/>
        <v>0</v>
      </c>
    </row>
    <row r="932" spans="2:18" x14ac:dyDescent="0.2">
      <c r="B932" s="1209"/>
      <c r="C932" s="1210"/>
      <c r="D932" s="939"/>
      <c r="E932" s="1211" t="str">
        <f t="shared" si="114"/>
        <v xml:space="preserve"> </v>
      </c>
      <c r="G932" s="1212" t="str">
        <f t="shared" si="115"/>
        <v xml:space="preserve"> </v>
      </c>
      <c r="H932" s="1201"/>
      <c r="I932">
        <f t="shared" si="112"/>
        <v>0</v>
      </c>
      <c r="K932">
        <f t="shared" si="113"/>
        <v>0</v>
      </c>
      <c r="L932" s="1213"/>
      <c r="N932" s="1214" t="str">
        <f t="shared" si="116"/>
        <v xml:space="preserve"> </v>
      </c>
      <c r="O932" s="1215" t="str">
        <f t="shared" si="117"/>
        <v xml:space="preserve"> </v>
      </c>
      <c r="Q932">
        <f t="shared" si="118"/>
        <v>0</v>
      </c>
      <c r="R932">
        <f t="shared" si="119"/>
        <v>0</v>
      </c>
    </row>
    <row r="933" spans="2:18" x14ac:dyDescent="0.2">
      <c r="B933" s="1209"/>
      <c r="C933" s="1210"/>
      <c r="D933" s="939"/>
      <c r="E933" s="1211" t="str">
        <f t="shared" si="114"/>
        <v xml:space="preserve"> </v>
      </c>
      <c r="G933" s="1212" t="str">
        <f t="shared" si="115"/>
        <v xml:space="preserve"> </v>
      </c>
      <c r="H933" s="1201"/>
      <c r="I933">
        <f t="shared" si="112"/>
        <v>0</v>
      </c>
      <c r="K933">
        <f t="shared" si="113"/>
        <v>0</v>
      </c>
      <c r="L933" s="1213"/>
      <c r="N933" s="1214" t="str">
        <f t="shared" si="116"/>
        <v xml:space="preserve"> </v>
      </c>
      <c r="O933" s="1215" t="str">
        <f t="shared" si="117"/>
        <v xml:space="preserve"> </v>
      </c>
      <c r="Q933">
        <f t="shared" si="118"/>
        <v>0</v>
      </c>
      <c r="R933">
        <f t="shared" si="119"/>
        <v>0</v>
      </c>
    </row>
    <row r="934" spans="2:18" x14ac:dyDescent="0.2">
      <c r="B934" s="1209"/>
      <c r="C934" s="1210"/>
      <c r="D934" s="939"/>
      <c r="E934" s="1211" t="str">
        <f t="shared" si="114"/>
        <v xml:space="preserve"> </v>
      </c>
      <c r="G934" s="1212" t="str">
        <f t="shared" si="115"/>
        <v xml:space="preserve"> </v>
      </c>
      <c r="H934" s="1201"/>
      <c r="I934">
        <f t="shared" si="112"/>
        <v>0</v>
      </c>
      <c r="K934">
        <f t="shared" si="113"/>
        <v>0</v>
      </c>
      <c r="L934" s="1213"/>
      <c r="N934" s="1214" t="str">
        <f t="shared" si="116"/>
        <v xml:space="preserve"> </v>
      </c>
      <c r="O934" s="1215" t="str">
        <f t="shared" si="117"/>
        <v xml:space="preserve"> </v>
      </c>
      <c r="Q934">
        <f t="shared" si="118"/>
        <v>0</v>
      </c>
      <c r="R934">
        <f t="shared" si="119"/>
        <v>0</v>
      </c>
    </row>
    <row r="935" spans="2:18" x14ac:dyDescent="0.2">
      <c r="B935" s="1209"/>
      <c r="C935" s="1210"/>
      <c r="D935" s="939"/>
      <c r="E935" s="1211" t="str">
        <f t="shared" si="114"/>
        <v xml:space="preserve"> </v>
      </c>
      <c r="G935" s="1212" t="str">
        <f t="shared" si="115"/>
        <v xml:space="preserve"> </v>
      </c>
      <c r="H935" s="1201"/>
      <c r="I935">
        <f t="shared" si="112"/>
        <v>0</v>
      </c>
      <c r="K935">
        <f t="shared" si="113"/>
        <v>0</v>
      </c>
      <c r="L935" s="1213"/>
      <c r="N935" s="1214" t="str">
        <f t="shared" si="116"/>
        <v xml:space="preserve"> </v>
      </c>
      <c r="O935" s="1215" t="str">
        <f t="shared" si="117"/>
        <v xml:space="preserve"> </v>
      </c>
      <c r="Q935">
        <f t="shared" si="118"/>
        <v>0</v>
      </c>
      <c r="R935">
        <f t="shared" si="119"/>
        <v>0</v>
      </c>
    </row>
    <row r="936" spans="2:18" x14ac:dyDescent="0.2">
      <c r="B936" s="1209"/>
      <c r="C936" s="1210"/>
      <c r="D936" s="939"/>
      <c r="E936" s="1211" t="str">
        <f t="shared" si="114"/>
        <v xml:space="preserve"> </v>
      </c>
      <c r="G936" s="1212" t="str">
        <f t="shared" si="115"/>
        <v xml:space="preserve"> </v>
      </c>
      <c r="H936" s="1201"/>
      <c r="I936">
        <f t="shared" si="112"/>
        <v>0</v>
      </c>
      <c r="K936">
        <f t="shared" si="113"/>
        <v>0</v>
      </c>
      <c r="L936" s="1213"/>
      <c r="N936" s="1214" t="str">
        <f t="shared" si="116"/>
        <v xml:space="preserve"> </v>
      </c>
      <c r="O936" s="1215" t="str">
        <f t="shared" si="117"/>
        <v xml:space="preserve"> </v>
      </c>
      <c r="Q936">
        <f t="shared" si="118"/>
        <v>0</v>
      </c>
      <c r="R936">
        <f t="shared" si="119"/>
        <v>0</v>
      </c>
    </row>
    <row r="937" spans="2:18" x14ac:dyDescent="0.2">
      <c r="B937" s="1209"/>
      <c r="C937" s="1210"/>
      <c r="D937" s="939"/>
      <c r="E937" s="1211" t="str">
        <f t="shared" si="114"/>
        <v xml:space="preserve"> </v>
      </c>
      <c r="G937" s="1212" t="str">
        <f t="shared" si="115"/>
        <v xml:space="preserve"> </v>
      </c>
      <c r="H937" s="1201"/>
      <c r="I937">
        <f t="shared" si="112"/>
        <v>0</v>
      </c>
      <c r="K937">
        <f t="shared" si="113"/>
        <v>0</v>
      </c>
      <c r="L937" s="1213"/>
      <c r="N937" s="1214" t="str">
        <f t="shared" si="116"/>
        <v xml:space="preserve"> </v>
      </c>
      <c r="O937" s="1215" t="str">
        <f t="shared" si="117"/>
        <v xml:space="preserve"> </v>
      </c>
      <c r="Q937">
        <f t="shared" si="118"/>
        <v>0</v>
      </c>
      <c r="R937">
        <f t="shared" si="119"/>
        <v>0</v>
      </c>
    </row>
    <row r="938" spans="2:18" x14ac:dyDescent="0.2">
      <c r="B938" s="1209"/>
      <c r="C938" s="1210"/>
      <c r="D938" s="939"/>
      <c r="E938" s="1211" t="str">
        <f t="shared" si="114"/>
        <v xml:space="preserve"> </v>
      </c>
      <c r="G938" s="1212" t="str">
        <f t="shared" si="115"/>
        <v xml:space="preserve"> </v>
      </c>
      <c r="H938" s="1201"/>
      <c r="I938">
        <f t="shared" si="112"/>
        <v>0</v>
      </c>
      <c r="K938">
        <f t="shared" si="113"/>
        <v>0</v>
      </c>
      <c r="L938" s="1213"/>
      <c r="N938" s="1214" t="str">
        <f t="shared" si="116"/>
        <v xml:space="preserve"> </v>
      </c>
      <c r="O938" s="1215" t="str">
        <f t="shared" si="117"/>
        <v xml:space="preserve"> </v>
      </c>
      <c r="Q938">
        <f t="shared" si="118"/>
        <v>0</v>
      </c>
      <c r="R938">
        <f t="shared" si="119"/>
        <v>0</v>
      </c>
    </row>
    <row r="939" spans="2:18" x14ac:dyDescent="0.2">
      <c r="B939" s="1209"/>
      <c r="C939" s="1210"/>
      <c r="D939" s="939"/>
      <c r="E939" s="1211" t="str">
        <f t="shared" si="114"/>
        <v xml:space="preserve"> </v>
      </c>
      <c r="G939" s="1212" t="str">
        <f t="shared" si="115"/>
        <v xml:space="preserve"> </v>
      </c>
      <c r="H939" s="1201"/>
      <c r="I939">
        <f t="shared" si="112"/>
        <v>0</v>
      </c>
      <c r="K939">
        <f t="shared" si="113"/>
        <v>0</v>
      </c>
      <c r="L939" s="1213"/>
      <c r="N939" s="1214" t="str">
        <f t="shared" si="116"/>
        <v xml:space="preserve"> </v>
      </c>
      <c r="O939" s="1215" t="str">
        <f t="shared" si="117"/>
        <v xml:space="preserve"> </v>
      </c>
      <c r="Q939">
        <f t="shared" si="118"/>
        <v>0</v>
      </c>
      <c r="R939">
        <f t="shared" si="119"/>
        <v>0</v>
      </c>
    </row>
    <row r="940" spans="2:18" x14ac:dyDescent="0.2">
      <c r="B940" s="1209"/>
      <c r="C940" s="1210"/>
      <c r="D940" s="939"/>
      <c r="E940" s="1211" t="str">
        <f t="shared" si="114"/>
        <v xml:space="preserve"> </v>
      </c>
      <c r="G940" s="1212" t="str">
        <f t="shared" si="115"/>
        <v xml:space="preserve"> </v>
      </c>
      <c r="H940" s="1201"/>
      <c r="I940">
        <f t="shared" si="112"/>
        <v>0</v>
      </c>
      <c r="K940">
        <f t="shared" si="113"/>
        <v>0</v>
      </c>
      <c r="L940" s="1213"/>
      <c r="N940" s="1214" t="str">
        <f t="shared" si="116"/>
        <v xml:space="preserve"> </v>
      </c>
      <c r="O940" s="1215" t="str">
        <f t="shared" si="117"/>
        <v xml:space="preserve"> </v>
      </c>
      <c r="Q940">
        <f t="shared" si="118"/>
        <v>0</v>
      </c>
      <c r="R940">
        <f t="shared" si="119"/>
        <v>0</v>
      </c>
    </row>
    <row r="941" spans="2:18" x14ac:dyDescent="0.2">
      <c r="B941" s="1209"/>
      <c r="C941" s="1210"/>
      <c r="D941" s="939"/>
      <c r="E941" s="1211" t="str">
        <f t="shared" si="114"/>
        <v xml:space="preserve"> </v>
      </c>
      <c r="G941" s="1212" t="str">
        <f t="shared" si="115"/>
        <v xml:space="preserve"> </v>
      </c>
      <c r="H941" s="1201"/>
      <c r="I941">
        <f t="shared" si="112"/>
        <v>0</v>
      </c>
      <c r="K941">
        <f t="shared" si="113"/>
        <v>0</v>
      </c>
      <c r="L941" s="1213"/>
      <c r="N941" s="1214" t="str">
        <f t="shared" si="116"/>
        <v xml:space="preserve"> </v>
      </c>
      <c r="O941" s="1215" t="str">
        <f t="shared" si="117"/>
        <v xml:space="preserve"> </v>
      </c>
      <c r="Q941">
        <f t="shared" si="118"/>
        <v>0</v>
      </c>
      <c r="R941">
        <f t="shared" si="119"/>
        <v>0</v>
      </c>
    </row>
    <row r="942" spans="2:18" x14ac:dyDescent="0.2">
      <c r="B942" s="1209"/>
      <c r="C942" s="1210"/>
      <c r="D942" s="939"/>
      <c r="E942" s="1211" t="str">
        <f t="shared" si="114"/>
        <v xml:space="preserve"> </v>
      </c>
      <c r="G942" s="1212" t="str">
        <f t="shared" si="115"/>
        <v xml:space="preserve"> </v>
      </c>
      <c r="H942" s="1201"/>
      <c r="I942">
        <f t="shared" si="112"/>
        <v>0</v>
      </c>
      <c r="K942">
        <f t="shared" si="113"/>
        <v>0</v>
      </c>
      <c r="L942" s="1213"/>
      <c r="N942" s="1214" t="str">
        <f t="shared" si="116"/>
        <v xml:space="preserve"> </v>
      </c>
      <c r="O942" s="1215" t="str">
        <f t="shared" si="117"/>
        <v xml:space="preserve"> </v>
      </c>
      <c r="Q942">
        <f t="shared" si="118"/>
        <v>0</v>
      </c>
      <c r="R942">
        <f t="shared" si="119"/>
        <v>0</v>
      </c>
    </row>
    <row r="943" spans="2:18" x14ac:dyDescent="0.2">
      <c r="B943" s="1209"/>
      <c r="C943" s="1210"/>
      <c r="D943" s="939"/>
      <c r="E943" s="1211" t="str">
        <f t="shared" si="114"/>
        <v xml:space="preserve"> </v>
      </c>
      <c r="G943" s="1212" t="str">
        <f t="shared" si="115"/>
        <v xml:space="preserve"> </v>
      </c>
      <c r="H943" s="1201"/>
      <c r="I943">
        <f t="shared" si="112"/>
        <v>0</v>
      </c>
      <c r="K943">
        <f t="shared" si="113"/>
        <v>0</v>
      </c>
      <c r="L943" s="1213"/>
      <c r="N943" s="1214" t="str">
        <f t="shared" si="116"/>
        <v xml:space="preserve"> </v>
      </c>
      <c r="O943" s="1215" t="str">
        <f t="shared" si="117"/>
        <v xml:space="preserve"> </v>
      </c>
      <c r="Q943">
        <f t="shared" si="118"/>
        <v>0</v>
      </c>
      <c r="R943">
        <f t="shared" si="119"/>
        <v>0</v>
      </c>
    </row>
    <row r="944" spans="2:18" x14ac:dyDescent="0.2">
      <c r="B944" s="1209"/>
      <c r="C944" s="1210"/>
      <c r="D944" s="939"/>
      <c r="E944" s="1211" t="str">
        <f t="shared" si="114"/>
        <v xml:space="preserve"> </v>
      </c>
      <c r="G944" s="1212" t="str">
        <f t="shared" si="115"/>
        <v xml:space="preserve"> </v>
      </c>
      <c r="H944" s="1201"/>
      <c r="I944">
        <f t="shared" si="112"/>
        <v>0</v>
      </c>
      <c r="K944">
        <f t="shared" si="113"/>
        <v>0</v>
      </c>
      <c r="L944" s="1213"/>
      <c r="N944" s="1214" t="str">
        <f t="shared" si="116"/>
        <v xml:space="preserve"> </v>
      </c>
      <c r="O944" s="1215" t="str">
        <f t="shared" si="117"/>
        <v xml:space="preserve"> </v>
      </c>
      <c r="Q944">
        <f t="shared" si="118"/>
        <v>0</v>
      </c>
      <c r="R944">
        <f t="shared" si="119"/>
        <v>0</v>
      </c>
    </row>
    <row r="945" spans="2:18" x14ac:dyDescent="0.2">
      <c r="B945" s="1209"/>
      <c r="C945" s="1210"/>
      <c r="D945" s="939"/>
      <c r="E945" s="1211" t="str">
        <f t="shared" si="114"/>
        <v xml:space="preserve"> </v>
      </c>
      <c r="G945" s="1212" t="str">
        <f t="shared" si="115"/>
        <v xml:space="preserve"> </v>
      </c>
      <c r="H945" s="1201"/>
      <c r="I945">
        <f t="shared" si="112"/>
        <v>0</v>
      </c>
      <c r="K945">
        <f t="shared" si="113"/>
        <v>0</v>
      </c>
      <c r="L945" s="1213"/>
      <c r="N945" s="1214" t="str">
        <f t="shared" si="116"/>
        <v xml:space="preserve"> </v>
      </c>
      <c r="O945" s="1215" t="str">
        <f t="shared" si="117"/>
        <v xml:space="preserve"> </v>
      </c>
      <c r="Q945">
        <f t="shared" si="118"/>
        <v>0</v>
      </c>
      <c r="R945">
        <f t="shared" si="119"/>
        <v>0</v>
      </c>
    </row>
    <row r="946" spans="2:18" x14ac:dyDescent="0.2">
      <c r="B946" s="1209"/>
      <c r="C946" s="1210"/>
      <c r="D946" s="939"/>
      <c r="E946" s="1211" t="str">
        <f t="shared" si="114"/>
        <v xml:space="preserve"> </v>
      </c>
      <c r="G946" s="1212" t="str">
        <f t="shared" si="115"/>
        <v xml:space="preserve"> </v>
      </c>
      <c r="H946" s="1201"/>
      <c r="I946">
        <f t="shared" si="112"/>
        <v>0</v>
      </c>
      <c r="K946">
        <f t="shared" si="113"/>
        <v>0</v>
      </c>
      <c r="L946" s="1213"/>
      <c r="N946" s="1214" t="str">
        <f t="shared" si="116"/>
        <v xml:space="preserve"> </v>
      </c>
      <c r="O946" s="1215" t="str">
        <f t="shared" si="117"/>
        <v xml:space="preserve"> </v>
      </c>
      <c r="Q946">
        <f t="shared" si="118"/>
        <v>0</v>
      </c>
      <c r="R946">
        <f t="shared" si="119"/>
        <v>0</v>
      </c>
    </row>
    <row r="947" spans="2:18" x14ac:dyDescent="0.2">
      <c r="B947" s="1209"/>
      <c r="C947" s="1210"/>
      <c r="D947" s="939"/>
      <c r="E947" s="1211" t="str">
        <f t="shared" si="114"/>
        <v xml:space="preserve"> </v>
      </c>
      <c r="G947" s="1212" t="str">
        <f t="shared" si="115"/>
        <v xml:space="preserve"> </v>
      </c>
      <c r="H947" s="1201"/>
      <c r="I947">
        <f t="shared" si="112"/>
        <v>0</v>
      </c>
      <c r="K947">
        <f t="shared" si="113"/>
        <v>0</v>
      </c>
      <c r="L947" s="1213"/>
      <c r="N947" s="1214" t="str">
        <f t="shared" si="116"/>
        <v xml:space="preserve"> </v>
      </c>
      <c r="O947" s="1215" t="str">
        <f t="shared" si="117"/>
        <v xml:space="preserve"> </v>
      </c>
      <c r="Q947">
        <f t="shared" si="118"/>
        <v>0</v>
      </c>
      <c r="R947">
        <f t="shared" si="119"/>
        <v>0</v>
      </c>
    </row>
    <row r="948" spans="2:18" x14ac:dyDescent="0.2">
      <c r="B948" s="1209"/>
      <c r="C948" s="1210"/>
      <c r="D948" s="939"/>
      <c r="E948" s="1211" t="str">
        <f t="shared" si="114"/>
        <v xml:space="preserve"> </v>
      </c>
      <c r="G948" s="1212" t="str">
        <f t="shared" si="115"/>
        <v xml:space="preserve"> </v>
      </c>
      <c r="H948" s="1201"/>
      <c r="I948">
        <f t="shared" si="112"/>
        <v>0</v>
      </c>
      <c r="K948">
        <f t="shared" si="113"/>
        <v>0</v>
      </c>
      <c r="L948" s="1213"/>
      <c r="N948" s="1214" t="str">
        <f t="shared" si="116"/>
        <v xml:space="preserve"> </v>
      </c>
      <c r="O948" s="1215" t="str">
        <f t="shared" si="117"/>
        <v xml:space="preserve"> </v>
      </c>
      <c r="Q948">
        <f t="shared" si="118"/>
        <v>0</v>
      </c>
      <c r="R948">
        <f t="shared" si="119"/>
        <v>0</v>
      </c>
    </row>
    <row r="949" spans="2:18" x14ac:dyDescent="0.2">
      <c r="B949" s="1209"/>
      <c r="C949" s="1210"/>
      <c r="D949" s="939"/>
      <c r="E949" s="1211" t="str">
        <f t="shared" si="114"/>
        <v xml:space="preserve"> </v>
      </c>
      <c r="G949" s="1212" t="str">
        <f t="shared" si="115"/>
        <v xml:space="preserve"> </v>
      </c>
      <c r="H949" s="1201"/>
      <c r="I949">
        <f t="shared" si="112"/>
        <v>0</v>
      </c>
      <c r="K949">
        <f t="shared" si="113"/>
        <v>0</v>
      </c>
      <c r="L949" s="1213"/>
      <c r="N949" s="1214" t="str">
        <f t="shared" si="116"/>
        <v xml:space="preserve"> </v>
      </c>
      <c r="O949" s="1215" t="str">
        <f t="shared" si="117"/>
        <v xml:space="preserve"> </v>
      </c>
      <c r="Q949">
        <f t="shared" si="118"/>
        <v>0</v>
      </c>
      <c r="R949">
        <f t="shared" si="119"/>
        <v>0</v>
      </c>
    </row>
    <row r="950" spans="2:18" x14ac:dyDescent="0.2">
      <c r="B950" s="1209"/>
      <c r="C950" s="1210"/>
      <c r="D950" s="939"/>
      <c r="E950" s="1211" t="str">
        <f t="shared" si="114"/>
        <v xml:space="preserve"> </v>
      </c>
      <c r="G950" s="1212" t="str">
        <f t="shared" si="115"/>
        <v xml:space="preserve"> </v>
      </c>
      <c r="H950" s="1201"/>
      <c r="I950">
        <f t="shared" si="112"/>
        <v>0</v>
      </c>
      <c r="K950">
        <f t="shared" si="113"/>
        <v>0</v>
      </c>
      <c r="L950" s="1213"/>
      <c r="N950" s="1214" t="str">
        <f t="shared" si="116"/>
        <v xml:space="preserve"> </v>
      </c>
      <c r="O950" s="1215" t="str">
        <f t="shared" si="117"/>
        <v xml:space="preserve"> </v>
      </c>
      <c r="Q950">
        <f t="shared" si="118"/>
        <v>0</v>
      </c>
      <c r="R950">
        <f t="shared" si="119"/>
        <v>0</v>
      </c>
    </row>
    <row r="951" spans="2:18" x14ac:dyDescent="0.2">
      <c r="B951" s="1209"/>
      <c r="C951" s="1210"/>
      <c r="D951" s="939"/>
      <c r="E951" s="1211" t="str">
        <f t="shared" si="114"/>
        <v xml:space="preserve"> </v>
      </c>
      <c r="G951" s="1212" t="str">
        <f t="shared" si="115"/>
        <v xml:space="preserve"> </v>
      </c>
      <c r="H951" s="1201"/>
      <c r="I951">
        <f t="shared" si="112"/>
        <v>0</v>
      </c>
      <c r="K951">
        <f t="shared" si="113"/>
        <v>0</v>
      </c>
      <c r="L951" s="1213"/>
      <c r="N951" s="1214" t="str">
        <f t="shared" si="116"/>
        <v xml:space="preserve"> </v>
      </c>
      <c r="O951" s="1215" t="str">
        <f t="shared" si="117"/>
        <v xml:space="preserve"> </v>
      </c>
      <c r="Q951">
        <f t="shared" si="118"/>
        <v>0</v>
      </c>
      <c r="R951">
        <f t="shared" si="119"/>
        <v>0</v>
      </c>
    </row>
    <row r="952" spans="2:18" x14ac:dyDescent="0.2">
      <c r="B952" s="1209"/>
      <c r="C952" s="1210"/>
      <c r="D952" s="939"/>
      <c r="E952" s="1211" t="str">
        <f t="shared" si="114"/>
        <v xml:space="preserve"> </v>
      </c>
      <c r="G952" s="1212" t="str">
        <f t="shared" si="115"/>
        <v xml:space="preserve"> </v>
      </c>
      <c r="H952" s="1201"/>
      <c r="I952">
        <f t="shared" si="112"/>
        <v>0</v>
      </c>
      <c r="K952">
        <f t="shared" si="113"/>
        <v>0</v>
      </c>
      <c r="L952" s="1213"/>
      <c r="N952" s="1214" t="str">
        <f t="shared" si="116"/>
        <v xml:space="preserve"> </v>
      </c>
      <c r="O952" s="1215" t="str">
        <f t="shared" si="117"/>
        <v xml:space="preserve"> </v>
      </c>
      <c r="Q952">
        <f t="shared" si="118"/>
        <v>0</v>
      </c>
      <c r="R952">
        <f t="shared" si="119"/>
        <v>0</v>
      </c>
    </row>
    <row r="953" spans="2:18" x14ac:dyDescent="0.2">
      <c r="B953" s="1209"/>
      <c r="C953" s="1210"/>
      <c r="D953" s="939"/>
      <c r="E953" s="1211" t="str">
        <f t="shared" si="114"/>
        <v xml:space="preserve"> </v>
      </c>
      <c r="G953" s="1212" t="str">
        <f t="shared" si="115"/>
        <v xml:space="preserve"> </v>
      </c>
      <c r="H953" s="1201"/>
      <c r="I953">
        <f t="shared" si="112"/>
        <v>0</v>
      </c>
      <c r="K953">
        <f t="shared" si="113"/>
        <v>0</v>
      </c>
      <c r="L953" s="1213"/>
      <c r="N953" s="1214" t="str">
        <f t="shared" si="116"/>
        <v xml:space="preserve"> </v>
      </c>
      <c r="O953" s="1215" t="str">
        <f t="shared" si="117"/>
        <v xml:space="preserve"> </v>
      </c>
      <c r="Q953">
        <f t="shared" si="118"/>
        <v>0</v>
      </c>
      <c r="R953">
        <f t="shared" si="119"/>
        <v>0</v>
      </c>
    </row>
    <row r="954" spans="2:18" x14ac:dyDescent="0.2">
      <c r="B954" s="1209"/>
      <c r="C954" s="1210"/>
      <c r="D954" s="939"/>
      <c r="E954" s="1211" t="str">
        <f t="shared" si="114"/>
        <v xml:space="preserve"> </v>
      </c>
      <c r="G954" s="1212" t="str">
        <f t="shared" si="115"/>
        <v xml:space="preserve"> </v>
      </c>
      <c r="H954" s="1201"/>
      <c r="I954">
        <f t="shared" si="112"/>
        <v>0</v>
      </c>
      <c r="K954">
        <f t="shared" si="113"/>
        <v>0</v>
      </c>
      <c r="L954" s="1213"/>
      <c r="N954" s="1214" t="str">
        <f t="shared" si="116"/>
        <v xml:space="preserve"> </v>
      </c>
      <c r="O954" s="1215" t="str">
        <f t="shared" si="117"/>
        <v xml:space="preserve"> </v>
      </c>
      <c r="Q954">
        <f t="shared" si="118"/>
        <v>0</v>
      </c>
      <c r="R954">
        <f t="shared" si="119"/>
        <v>0</v>
      </c>
    </row>
    <row r="955" spans="2:18" x14ac:dyDescent="0.2">
      <c r="B955" s="1209"/>
      <c r="C955" s="1210"/>
      <c r="D955" s="939"/>
      <c r="E955" s="1211" t="str">
        <f t="shared" si="114"/>
        <v xml:space="preserve"> </v>
      </c>
      <c r="G955" s="1212" t="str">
        <f t="shared" si="115"/>
        <v xml:space="preserve"> </v>
      </c>
      <c r="H955" s="1201"/>
      <c r="I955">
        <f t="shared" si="112"/>
        <v>0</v>
      </c>
      <c r="K955">
        <f t="shared" si="113"/>
        <v>0</v>
      </c>
      <c r="L955" s="1213"/>
      <c r="N955" s="1214" t="str">
        <f t="shared" si="116"/>
        <v xml:space="preserve"> </v>
      </c>
      <c r="O955" s="1215" t="str">
        <f t="shared" si="117"/>
        <v xml:space="preserve"> </v>
      </c>
      <c r="Q955">
        <f t="shared" si="118"/>
        <v>0</v>
      </c>
      <c r="R955">
        <f t="shared" si="119"/>
        <v>0</v>
      </c>
    </row>
    <row r="956" spans="2:18" x14ac:dyDescent="0.2">
      <c r="B956" s="1209"/>
      <c r="C956" s="1210"/>
      <c r="D956" s="939"/>
      <c r="E956" s="1211" t="str">
        <f t="shared" si="114"/>
        <v xml:space="preserve"> </v>
      </c>
      <c r="G956" s="1212" t="str">
        <f t="shared" si="115"/>
        <v xml:space="preserve"> </v>
      </c>
      <c r="H956" s="1201"/>
      <c r="I956">
        <f t="shared" si="112"/>
        <v>0</v>
      </c>
      <c r="K956">
        <f t="shared" si="113"/>
        <v>0</v>
      </c>
      <c r="L956" s="1213"/>
      <c r="N956" s="1214" t="str">
        <f t="shared" si="116"/>
        <v xml:space="preserve"> </v>
      </c>
      <c r="O956" s="1215" t="str">
        <f t="shared" si="117"/>
        <v xml:space="preserve"> </v>
      </c>
      <c r="Q956">
        <f t="shared" si="118"/>
        <v>0</v>
      </c>
      <c r="R956">
        <f t="shared" si="119"/>
        <v>0</v>
      </c>
    </row>
    <row r="957" spans="2:18" x14ac:dyDescent="0.2">
      <c r="B957" s="1209"/>
      <c r="C957" s="1210"/>
      <c r="D957" s="939"/>
      <c r="E957" s="1211" t="str">
        <f t="shared" si="114"/>
        <v xml:space="preserve"> </v>
      </c>
      <c r="G957" s="1212" t="str">
        <f t="shared" si="115"/>
        <v xml:space="preserve"> </v>
      </c>
      <c r="H957" s="1201"/>
      <c r="I957">
        <f t="shared" si="112"/>
        <v>0</v>
      </c>
      <c r="K957">
        <f t="shared" si="113"/>
        <v>0</v>
      </c>
      <c r="L957" s="1213"/>
      <c r="N957" s="1214" t="str">
        <f t="shared" si="116"/>
        <v xml:space="preserve"> </v>
      </c>
      <c r="O957" s="1215" t="str">
        <f t="shared" si="117"/>
        <v xml:space="preserve"> </v>
      </c>
      <c r="Q957">
        <f t="shared" si="118"/>
        <v>0</v>
      </c>
      <c r="R957">
        <f t="shared" si="119"/>
        <v>0</v>
      </c>
    </row>
    <row r="958" spans="2:18" x14ac:dyDescent="0.2">
      <c r="B958" s="1209"/>
      <c r="C958" s="1210"/>
      <c r="D958" s="939"/>
      <c r="E958" s="1211" t="str">
        <f t="shared" si="114"/>
        <v xml:space="preserve"> </v>
      </c>
      <c r="G958" s="1212" t="str">
        <f t="shared" si="115"/>
        <v xml:space="preserve"> </v>
      </c>
      <c r="H958" s="1201"/>
      <c r="I958">
        <f t="shared" si="112"/>
        <v>0</v>
      </c>
      <c r="K958">
        <f t="shared" si="113"/>
        <v>0</v>
      </c>
      <c r="L958" s="1213"/>
      <c r="N958" s="1214" t="str">
        <f t="shared" si="116"/>
        <v xml:space="preserve"> </v>
      </c>
      <c r="O958" s="1215" t="str">
        <f t="shared" si="117"/>
        <v xml:space="preserve"> </v>
      </c>
      <c r="Q958">
        <f t="shared" si="118"/>
        <v>0</v>
      </c>
      <c r="R958">
        <f t="shared" si="119"/>
        <v>0</v>
      </c>
    </row>
    <row r="959" spans="2:18" x14ac:dyDescent="0.2">
      <c r="B959" s="1209"/>
      <c r="C959" s="1210"/>
      <c r="D959" s="939"/>
      <c r="E959" s="1211" t="str">
        <f t="shared" si="114"/>
        <v xml:space="preserve"> </v>
      </c>
      <c r="G959" s="1212" t="str">
        <f t="shared" si="115"/>
        <v xml:space="preserve"> </v>
      </c>
      <c r="H959" s="1201"/>
      <c r="I959">
        <f t="shared" si="112"/>
        <v>0</v>
      </c>
      <c r="K959">
        <f t="shared" si="113"/>
        <v>0</v>
      </c>
      <c r="L959" s="1213"/>
      <c r="N959" s="1214" t="str">
        <f t="shared" si="116"/>
        <v xml:space="preserve"> </v>
      </c>
      <c r="O959" s="1215" t="str">
        <f t="shared" si="117"/>
        <v xml:space="preserve"> </v>
      </c>
      <c r="Q959">
        <f t="shared" si="118"/>
        <v>0</v>
      </c>
      <c r="R959">
        <f t="shared" si="119"/>
        <v>0</v>
      </c>
    </row>
    <row r="960" spans="2:18" x14ac:dyDescent="0.2">
      <c r="B960" s="1209"/>
      <c r="C960" s="1210"/>
      <c r="D960" s="939"/>
      <c r="E960" s="1211" t="str">
        <f t="shared" si="114"/>
        <v xml:space="preserve"> </v>
      </c>
      <c r="G960" s="1212" t="str">
        <f t="shared" si="115"/>
        <v xml:space="preserve"> </v>
      </c>
      <c r="H960" s="1201"/>
      <c r="I960">
        <f t="shared" si="112"/>
        <v>0</v>
      </c>
      <c r="K960">
        <f t="shared" si="113"/>
        <v>0</v>
      </c>
      <c r="L960" s="1213"/>
      <c r="N960" s="1214" t="str">
        <f t="shared" si="116"/>
        <v xml:space="preserve"> </v>
      </c>
      <c r="O960" s="1215" t="str">
        <f t="shared" si="117"/>
        <v xml:space="preserve"> </v>
      </c>
      <c r="Q960">
        <f t="shared" si="118"/>
        <v>0</v>
      </c>
      <c r="R960">
        <f t="shared" si="119"/>
        <v>0</v>
      </c>
    </row>
    <row r="961" spans="2:18" x14ac:dyDescent="0.2">
      <c r="B961" s="1209"/>
      <c r="C961" s="1210"/>
      <c r="D961" s="939"/>
      <c r="E961" s="1211" t="str">
        <f t="shared" si="114"/>
        <v xml:space="preserve"> </v>
      </c>
      <c r="G961" s="1212" t="str">
        <f t="shared" si="115"/>
        <v xml:space="preserve"> </v>
      </c>
      <c r="H961" s="1201"/>
      <c r="I961">
        <f t="shared" si="112"/>
        <v>0</v>
      </c>
      <c r="K961">
        <f t="shared" si="113"/>
        <v>0</v>
      </c>
      <c r="L961" s="1213"/>
      <c r="N961" s="1214" t="str">
        <f t="shared" si="116"/>
        <v xml:space="preserve"> </v>
      </c>
      <c r="O961" s="1215" t="str">
        <f t="shared" si="117"/>
        <v xml:space="preserve"> </v>
      </c>
      <c r="Q961">
        <f t="shared" si="118"/>
        <v>0</v>
      </c>
      <c r="R961">
        <f t="shared" si="119"/>
        <v>0</v>
      </c>
    </row>
    <row r="962" spans="2:18" x14ac:dyDescent="0.2">
      <c r="B962" s="1209"/>
      <c r="C962" s="1210"/>
      <c r="D962" s="939"/>
      <c r="E962" s="1211" t="str">
        <f t="shared" si="114"/>
        <v xml:space="preserve"> </v>
      </c>
      <c r="G962" s="1212" t="str">
        <f t="shared" si="115"/>
        <v xml:space="preserve"> </v>
      </c>
      <c r="H962" s="1201"/>
      <c r="I962">
        <f t="shared" si="112"/>
        <v>0</v>
      </c>
      <c r="K962">
        <f t="shared" si="113"/>
        <v>0</v>
      </c>
      <c r="L962" s="1213"/>
      <c r="N962" s="1214" t="str">
        <f t="shared" si="116"/>
        <v xml:space="preserve"> </v>
      </c>
      <c r="O962" s="1215" t="str">
        <f t="shared" si="117"/>
        <v xml:space="preserve"> </v>
      </c>
      <c r="Q962">
        <f t="shared" si="118"/>
        <v>0</v>
      </c>
      <c r="R962">
        <f t="shared" si="119"/>
        <v>0</v>
      </c>
    </row>
    <row r="963" spans="2:18" x14ac:dyDescent="0.2">
      <c r="B963" s="1209"/>
      <c r="C963" s="1210"/>
      <c r="D963" s="939"/>
      <c r="E963" s="1211" t="str">
        <f t="shared" si="114"/>
        <v xml:space="preserve"> </v>
      </c>
      <c r="G963" s="1212" t="str">
        <f t="shared" si="115"/>
        <v xml:space="preserve"> </v>
      </c>
      <c r="H963" s="1201"/>
      <c r="I963">
        <f t="shared" si="112"/>
        <v>0</v>
      </c>
      <c r="K963">
        <f t="shared" si="113"/>
        <v>0</v>
      </c>
      <c r="L963" s="1213"/>
      <c r="N963" s="1214" t="str">
        <f t="shared" si="116"/>
        <v xml:space="preserve"> </v>
      </c>
      <c r="O963" s="1215" t="str">
        <f t="shared" si="117"/>
        <v xml:space="preserve"> </v>
      </c>
      <c r="Q963">
        <f t="shared" si="118"/>
        <v>0</v>
      </c>
      <c r="R963">
        <f t="shared" si="119"/>
        <v>0</v>
      </c>
    </row>
    <row r="964" spans="2:18" x14ac:dyDescent="0.2">
      <c r="B964" s="1209"/>
      <c r="C964" s="1210"/>
      <c r="D964" s="939"/>
      <c r="E964" s="1211" t="str">
        <f t="shared" si="114"/>
        <v xml:space="preserve"> </v>
      </c>
      <c r="G964" s="1212" t="str">
        <f t="shared" si="115"/>
        <v xml:space="preserve"> </v>
      </c>
      <c r="H964" s="1201"/>
      <c r="I964">
        <f t="shared" si="112"/>
        <v>0</v>
      </c>
      <c r="K964">
        <f t="shared" si="113"/>
        <v>0</v>
      </c>
      <c r="L964" s="1213"/>
      <c r="N964" s="1214" t="str">
        <f t="shared" si="116"/>
        <v xml:space="preserve"> </v>
      </c>
      <c r="O964" s="1215" t="str">
        <f t="shared" si="117"/>
        <v xml:space="preserve"> </v>
      </c>
      <c r="Q964">
        <f t="shared" si="118"/>
        <v>0</v>
      </c>
      <c r="R964">
        <f t="shared" si="119"/>
        <v>0</v>
      </c>
    </row>
    <row r="965" spans="2:18" x14ac:dyDescent="0.2">
      <c r="B965" s="1209"/>
      <c r="C965" s="1210"/>
      <c r="D965" s="939"/>
      <c r="E965" s="1211" t="str">
        <f t="shared" si="114"/>
        <v xml:space="preserve"> </v>
      </c>
      <c r="G965" s="1212" t="str">
        <f t="shared" si="115"/>
        <v xml:space="preserve"> </v>
      </c>
      <c r="H965" s="1201"/>
      <c r="I965">
        <f t="shared" si="112"/>
        <v>0</v>
      </c>
      <c r="K965">
        <f t="shared" si="113"/>
        <v>0</v>
      </c>
      <c r="L965" s="1213"/>
      <c r="N965" s="1214" t="str">
        <f t="shared" si="116"/>
        <v xml:space="preserve"> </v>
      </c>
      <c r="O965" s="1215" t="str">
        <f t="shared" si="117"/>
        <v xml:space="preserve"> </v>
      </c>
      <c r="Q965">
        <f t="shared" si="118"/>
        <v>0</v>
      </c>
      <c r="R965">
        <f t="shared" si="119"/>
        <v>0</v>
      </c>
    </row>
    <row r="966" spans="2:18" x14ac:dyDescent="0.2">
      <c r="B966" s="1209"/>
      <c r="C966" s="1210"/>
      <c r="D966" s="939"/>
      <c r="E966" s="1211" t="str">
        <f t="shared" si="114"/>
        <v xml:space="preserve"> </v>
      </c>
      <c r="G966" s="1212" t="str">
        <f t="shared" si="115"/>
        <v xml:space="preserve"> </v>
      </c>
      <c r="H966" s="1201"/>
      <c r="I966">
        <f t="shared" si="112"/>
        <v>0</v>
      </c>
      <c r="K966">
        <f t="shared" si="113"/>
        <v>0</v>
      </c>
      <c r="L966" s="1213"/>
      <c r="N966" s="1214" t="str">
        <f t="shared" si="116"/>
        <v xml:space="preserve"> </v>
      </c>
      <c r="O966" s="1215" t="str">
        <f t="shared" si="117"/>
        <v xml:space="preserve"> </v>
      </c>
      <c r="Q966">
        <f t="shared" si="118"/>
        <v>0</v>
      </c>
      <c r="R966">
        <f t="shared" si="119"/>
        <v>0</v>
      </c>
    </row>
    <row r="967" spans="2:18" x14ac:dyDescent="0.2">
      <c r="B967" s="1209"/>
      <c r="C967" s="1210"/>
      <c r="D967" s="939"/>
      <c r="E967" s="1211" t="str">
        <f t="shared" si="114"/>
        <v xml:space="preserve"> </v>
      </c>
      <c r="G967" s="1212" t="str">
        <f t="shared" si="115"/>
        <v xml:space="preserve"> </v>
      </c>
      <c r="H967" s="1201"/>
      <c r="I967">
        <f t="shared" si="112"/>
        <v>0</v>
      </c>
      <c r="K967">
        <f t="shared" si="113"/>
        <v>0</v>
      </c>
      <c r="L967" s="1213"/>
      <c r="N967" s="1214" t="str">
        <f t="shared" si="116"/>
        <v xml:space="preserve"> </v>
      </c>
      <c r="O967" s="1215" t="str">
        <f t="shared" si="117"/>
        <v xml:space="preserve"> </v>
      </c>
      <c r="Q967">
        <f t="shared" si="118"/>
        <v>0</v>
      </c>
      <c r="R967">
        <f t="shared" si="119"/>
        <v>0</v>
      </c>
    </row>
    <row r="968" spans="2:18" x14ac:dyDescent="0.2">
      <c r="B968" s="1209"/>
      <c r="C968" s="1210"/>
      <c r="D968" s="939"/>
      <c r="E968" s="1211" t="str">
        <f t="shared" si="114"/>
        <v xml:space="preserve"> </v>
      </c>
      <c r="G968" s="1212" t="str">
        <f t="shared" si="115"/>
        <v xml:space="preserve"> </v>
      </c>
      <c r="H968" s="1201"/>
      <c r="I968">
        <f t="shared" ref="I968:I1031" si="120">(J968+C968)/12</f>
        <v>0</v>
      </c>
      <c r="K968">
        <f t="shared" ref="K968:K1031" si="121">I968+B968</f>
        <v>0</v>
      </c>
      <c r="L968" s="1213"/>
      <c r="N968" s="1214" t="str">
        <f t="shared" si="116"/>
        <v xml:space="preserve"> </v>
      </c>
      <c r="O968" s="1215" t="str">
        <f t="shared" si="117"/>
        <v xml:space="preserve"> </v>
      </c>
      <c r="Q968">
        <f t="shared" si="118"/>
        <v>0</v>
      </c>
      <c r="R968">
        <f t="shared" si="119"/>
        <v>0</v>
      </c>
    </row>
    <row r="969" spans="2:18" x14ac:dyDescent="0.2">
      <c r="B969" s="1209"/>
      <c r="C969" s="1210"/>
      <c r="D969" s="939"/>
      <c r="E969" s="1211" t="str">
        <f t="shared" si="114"/>
        <v xml:space="preserve"> </v>
      </c>
      <c r="G969" s="1212" t="str">
        <f t="shared" si="115"/>
        <v xml:space="preserve"> </v>
      </c>
      <c r="H969" s="1201"/>
      <c r="I969">
        <f t="shared" si="120"/>
        <v>0</v>
      </c>
      <c r="K969">
        <f t="shared" si="121"/>
        <v>0</v>
      </c>
      <c r="L969" s="1213"/>
      <c r="N969" s="1214" t="str">
        <f t="shared" si="116"/>
        <v xml:space="preserve"> </v>
      </c>
      <c r="O969" s="1215" t="str">
        <f t="shared" si="117"/>
        <v xml:space="preserve"> </v>
      </c>
      <c r="Q969">
        <f t="shared" si="118"/>
        <v>0</v>
      </c>
      <c r="R969">
        <f t="shared" si="119"/>
        <v>0</v>
      </c>
    </row>
    <row r="970" spans="2:18" x14ac:dyDescent="0.2">
      <c r="B970" s="1209"/>
      <c r="C970" s="1210"/>
      <c r="D970" s="939"/>
      <c r="E970" s="1211" t="str">
        <f t="shared" ref="E970:E1033" si="122">IF(K970=0," ",IF(K970&gt;0,K970*12*25.4))</f>
        <v xml:space="preserve"> </v>
      </c>
      <c r="G970" s="1212" t="str">
        <f t="shared" ref="G970:G1033" si="123">IF(K970=0," ",IF(K970&gt;0,E970/1000))</f>
        <v xml:space="preserve"> </v>
      </c>
      <c r="H970" s="1201"/>
      <c r="I970">
        <f t="shared" si="120"/>
        <v>0</v>
      </c>
      <c r="K970">
        <f t="shared" si="121"/>
        <v>0</v>
      </c>
      <c r="L970" s="1213"/>
      <c r="N970" s="1214" t="str">
        <f t="shared" ref="N970:N1033" si="124">IF(R970=0," ",IF(R970&gt;0,TRUNC(R970)))</f>
        <v xml:space="preserve"> </v>
      </c>
      <c r="O970" s="1215" t="str">
        <f t="shared" ref="O970:O1033" si="125">IF(R970=0," ",IF(R970&gt;0,(R970-N970)*12))</f>
        <v xml:space="preserve"> </v>
      </c>
      <c r="Q970">
        <f t="shared" ref="Q970:Q1033" si="126">L970/25.4</f>
        <v>0</v>
      </c>
      <c r="R970">
        <f t="shared" ref="R970:R1033" si="127">Q970/12</f>
        <v>0</v>
      </c>
    </row>
    <row r="971" spans="2:18" x14ac:dyDescent="0.2">
      <c r="B971" s="1209"/>
      <c r="C971" s="1210"/>
      <c r="D971" s="939"/>
      <c r="E971" s="1211" t="str">
        <f t="shared" si="122"/>
        <v xml:space="preserve"> </v>
      </c>
      <c r="G971" s="1212" t="str">
        <f t="shared" si="123"/>
        <v xml:space="preserve"> </v>
      </c>
      <c r="H971" s="1201"/>
      <c r="I971">
        <f t="shared" si="120"/>
        <v>0</v>
      </c>
      <c r="K971">
        <f t="shared" si="121"/>
        <v>0</v>
      </c>
      <c r="L971" s="1213"/>
      <c r="N971" s="1214" t="str">
        <f t="shared" si="124"/>
        <v xml:space="preserve"> </v>
      </c>
      <c r="O971" s="1215" t="str">
        <f t="shared" si="125"/>
        <v xml:space="preserve"> </v>
      </c>
      <c r="Q971">
        <f t="shared" si="126"/>
        <v>0</v>
      </c>
      <c r="R971">
        <f t="shared" si="127"/>
        <v>0</v>
      </c>
    </row>
    <row r="972" spans="2:18" x14ac:dyDescent="0.2">
      <c r="B972" s="1209"/>
      <c r="C972" s="1210"/>
      <c r="D972" s="939"/>
      <c r="E972" s="1211" t="str">
        <f t="shared" si="122"/>
        <v xml:space="preserve"> </v>
      </c>
      <c r="G972" s="1212" t="str">
        <f t="shared" si="123"/>
        <v xml:space="preserve"> </v>
      </c>
      <c r="H972" s="1201"/>
      <c r="I972">
        <f t="shared" si="120"/>
        <v>0</v>
      </c>
      <c r="K972">
        <f t="shared" si="121"/>
        <v>0</v>
      </c>
      <c r="L972" s="1213"/>
      <c r="N972" s="1214" t="str">
        <f t="shared" si="124"/>
        <v xml:space="preserve"> </v>
      </c>
      <c r="O972" s="1215" t="str">
        <f t="shared" si="125"/>
        <v xml:space="preserve"> </v>
      </c>
      <c r="Q972">
        <f t="shared" si="126"/>
        <v>0</v>
      </c>
      <c r="R972">
        <f t="shared" si="127"/>
        <v>0</v>
      </c>
    </row>
    <row r="973" spans="2:18" x14ac:dyDescent="0.2">
      <c r="B973" s="1209"/>
      <c r="C973" s="1210"/>
      <c r="D973" s="939"/>
      <c r="E973" s="1211" t="str">
        <f t="shared" si="122"/>
        <v xml:space="preserve"> </v>
      </c>
      <c r="G973" s="1212" t="str">
        <f t="shared" si="123"/>
        <v xml:space="preserve"> </v>
      </c>
      <c r="H973" s="1201"/>
      <c r="I973">
        <f t="shared" si="120"/>
        <v>0</v>
      </c>
      <c r="K973">
        <f t="shared" si="121"/>
        <v>0</v>
      </c>
      <c r="L973" s="1213"/>
      <c r="N973" s="1214" t="str">
        <f t="shared" si="124"/>
        <v xml:space="preserve"> </v>
      </c>
      <c r="O973" s="1215" t="str">
        <f t="shared" si="125"/>
        <v xml:space="preserve"> </v>
      </c>
      <c r="Q973">
        <f t="shared" si="126"/>
        <v>0</v>
      </c>
      <c r="R973">
        <f t="shared" si="127"/>
        <v>0</v>
      </c>
    </row>
    <row r="974" spans="2:18" x14ac:dyDescent="0.2">
      <c r="B974" s="1209"/>
      <c r="C974" s="1210"/>
      <c r="D974" s="939"/>
      <c r="E974" s="1211" t="str">
        <f t="shared" si="122"/>
        <v xml:space="preserve"> </v>
      </c>
      <c r="G974" s="1212" t="str">
        <f t="shared" si="123"/>
        <v xml:space="preserve"> </v>
      </c>
      <c r="H974" s="1201"/>
      <c r="I974">
        <f t="shared" si="120"/>
        <v>0</v>
      </c>
      <c r="K974">
        <f t="shared" si="121"/>
        <v>0</v>
      </c>
      <c r="L974" s="1213"/>
      <c r="N974" s="1214" t="str">
        <f t="shared" si="124"/>
        <v xml:space="preserve"> </v>
      </c>
      <c r="O974" s="1215" t="str">
        <f t="shared" si="125"/>
        <v xml:space="preserve"> </v>
      </c>
      <c r="Q974">
        <f t="shared" si="126"/>
        <v>0</v>
      </c>
      <c r="R974">
        <f t="shared" si="127"/>
        <v>0</v>
      </c>
    </row>
    <row r="975" spans="2:18" x14ac:dyDescent="0.2">
      <c r="B975" s="1209"/>
      <c r="C975" s="1210"/>
      <c r="D975" s="939"/>
      <c r="E975" s="1211" t="str">
        <f t="shared" si="122"/>
        <v xml:space="preserve"> </v>
      </c>
      <c r="G975" s="1212" t="str">
        <f t="shared" si="123"/>
        <v xml:space="preserve"> </v>
      </c>
      <c r="H975" s="1201"/>
      <c r="I975">
        <f t="shared" si="120"/>
        <v>0</v>
      </c>
      <c r="K975">
        <f t="shared" si="121"/>
        <v>0</v>
      </c>
      <c r="L975" s="1213"/>
      <c r="N975" s="1214" t="str">
        <f t="shared" si="124"/>
        <v xml:space="preserve"> </v>
      </c>
      <c r="O975" s="1215" t="str">
        <f t="shared" si="125"/>
        <v xml:space="preserve"> </v>
      </c>
      <c r="Q975">
        <f t="shared" si="126"/>
        <v>0</v>
      </c>
      <c r="R975">
        <f t="shared" si="127"/>
        <v>0</v>
      </c>
    </row>
    <row r="976" spans="2:18" x14ac:dyDescent="0.2">
      <c r="B976" s="1209"/>
      <c r="C976" s="1210"/>
      <c r="D976" s="939"/>
      <c r="E976" s="1211" t="str">
        <f t="shared" si="122"/>
        <v xml:space="preserve"> </v>
      </c>
      <c r="G976" s="1212" t="str">
        <f t="shared" si="123"/>
        <v xml:space="preserve"> </v>
      </c>
      <c r="H976" s="1201"/>
      <c r="I976">
        <f t="shared" si="120"/>
        <v>0</v>
      </c>
      <c r="K976">
        <f t="shared" si="121"/>
        <v>0</v>
      </c>
      <c r="L976" s="1213"/>
      <c r="N976" s="1214" t="str">
        <f t="shared" si="124"/>
        <v xml:space="preserve"> </v>
      </c>
      <c r="O976" s="1215" t="str">
        <f t="shared" si="125"/>
        <v xml:space="preserve"> </v>
      </c>
      <c r="Q976">
        <f t="shared" si="126"/>
        <v>0</v>
      </c>
      <c r="R976">
        <f t="shared" si="127"/>
        <v>0</v>
      </c>
    </row>
    <row r="977" spans="2:18" x14ac:dyDescent="0.2">
      <c r="B977" s="1209"/>
      <c r="C977" s="1210"/>
      <c r="D977" s="939"/>
      <c r="E977" s="1211" t="str">
        <f t="shared" si="122"/>
        <v xml:space="preserve"> </v>
      </c>
      <c r="G977" s="1212" t="str">
        <f t="shared" si="123"/>
        <v xml:space="preserve"> </v>
      </c>
      <c r="H977" s="1201"/>
      <c r="I977">
        <f t="shared" si="120"/>
        <v>0</v>
      </c>
      <c r="K977">
        <f t="shared" si="121"/>
        <v>0</v>
      </c>
      <c r="L977" s="1213"/>
      <c r="N977" s="1214" t="str">
        <f t="shared" si="124"/>
        <v xml:space="preserve"> </v>
      </c>
      <c r="O977" s="1215" t="str">
        <f t="shared" si="125"/>
        <v xml:space="preserve"> </v>
      </c>
      <c r="Q977">
        <f t="shared" si="126"/>
        <v>0</v>
      </c>
      <c r="R977">
        <f t="shared" si="127"/>
        <v>0</v>
      </c>
    </row>
    <row r="978" spans="2:18" x14ac:dyDescent="0.2">
      <c r="B978" s="1209"/>
      <c r="C978" s="1210"/>
      <c r="D978" s="939"/>
      <c r="E978" s="1211" t="str">
        <f t="shared" si="122"/>
        <v xml:space="preserve"> </v>
      </c>
      <c r="G978" s="1212" t="str">
        <f t="shared" si="123"/>
        <v xml:space="preserve"> </v>
      </c>
      <c r="H978" s="1201"/>
      <c r="I978">
        <f t="shared" si="120"/>
        <v>0</v>
      </c>
      <c r="K978">
        <f t="shared" si="121"/>
        <v>0</v>
      </c>
      <c r="L978" s="1213"/>
      <c r="N978" s="1214" t="str">
        <f t="shared" si="124"/>
        <v xml:space="preserve"> </v>
      </c>
      <c r="O978" s="1215" t="str">
        <f t="shared" si="125"/>
        <v xml:space="preserve"> </v>
      </c>
      <c r="Q978">
        <f t="shared" si="126"/>
        <v>0</v>
      </c>
      <c r="R978">
        <f t="shared" si="127"/>
        <v>0</v>
      </c>
    </row>
    <row r="979" spans="2:18" x14ac:dyDescent="0.2">
      <c r="B979" s="1209"/>
      <c r="C979" s="1210"/>
      <c r="D979" s="939"/>
      <c r="E979" s="1211" t="str">
        <f t="shared" si="122"/>
        <v xml:space="preserve"> </v>
      </c>
      <c r="G979" s="1212" t="str">
        <f t="shared" si="123"/>
        <v xml:space="preserve"> </v>
      </c>
      <c r="H979" s="1201"/>
      <c r="I979">
        <f t="shared" si="120"/>
        <v>0</v>
      </c>
      <c r="K979">
        <f t="shared" si="121"/>
        <v>0</v>
      </c>
      <c r="L979" s="1213"/>
      <c r="N979" s="1214" t="str">
        <f t="shared" si="124"/>
        <v xml:space="preserve"> </v>
      </c>
      <c r="O979" s="1215" t="str">
        <f t="shared" si="125"/>
        <v xml:space="preserve"> </v>
      </c>
      <c r="Q979">
        <f t="shared" si="126"/>
        <v>0</v>
      </c>
      <c r="R979">
        <f t="shared" si="127"/>
        <v>0</v>
      </c>
    </row>
    <row r="980" spans="2:18" x14ac:dyDescent="0.2">
      <c r="B980" s="1209"/>
      <c r="C980" s="1210"/>
      <c r="D980" s="939"/>
      <c r="E980" s="1211" t="str">
        <f t="shared" si="122"/>
        <v xml:space="preserve"> </v>
      </c>
      <c r="G980" s="1212" t="str">
        <f t="shared" si="123"/>
        <v xml:space="preserve"> </v>
      </c>
      <c r="H980" s="1201"/>
      <c r="I980">
        <f t="shared" si="120"/>
        <v>0</v>
      </c>
      <c r="K980">
        <f t="shared" si="121"/>
        <v>0</v>
      </c>
      <c r="L980" s="1213"/>
      <c r="N980" s="1214" t="str">
        <f t="shared" si="124"/>
        <v xml:space="preserve"> </v>
      </c>
      <c r="O980" s="1215" t="str">
        <f t="shared" si="125"/>
        <v xml:space="preserve"> </v>
      </c>
      <c r="Q980">
        <f t="shared" si="126"/>
        <v>0</v>
      </c>
      <c r="R980">
        <f t="shared" si="127"/>
        <v>0</v>
      </c>
    </row>
    <row r="981" spans="2:18" x14ac:dyDescent="0.2">
      <c r="B981" s="1209"/>
      <c r="C981" s="1210"/>
      <c r="D981" s="939"/>
      <c r="E981" s="1211" t="str">
        <f t="shared" si="122"/>
        <v xml:space="preserve"> </v>
      </c>
      <c r="G981" s="1212" t="str">
        <f t="shared" si="123"/>
        <v xml:space="preserve"> </v>
      </c>
      <c r="H981" s="1201"/>
      <c r="I981">
        <f t="shared" si="120"/>
        <v>0</v>
      </c>
      <c r="K981">
        <f t="shared" si="121"/>
        <v>0</v>
      </c>
      <c r="L981" s="1213"/>
      <c r="N981" s="1214" t="str">
        <f t="shared" si="124"/>
        <v xml:space="preserve"> </v>
      </c>
      <c r="O981" s="1215" t="str">
        <f t="shared" si="125"/>
        <v xml:space="preserve"> </v>
      </c>
      <c r="Q981">
        <f t="shared" si="126"/>
        <v>0</v>
      </c>
      <c r="R981">
        <f t="shared" si="127"/>
        <v>0</v>
      </c>
    </row>
    <row r="982" spans="2:18" x14ac:dyDescent="0.2">
      <c r="B982" s="1209"/>
      <c r="C982" s="1210"/>
      <c r="D982" s="939"/>
      <c r="E982" s="1211" t="str">
        <f t="shared" si="122"/>
        <v xml:space="preserve"> </v>
      </c>
      <c r="G982" s="1212" t="str">
        <f t="shared" si="123"/>
        <v xml:space="preserve"> </v>
      </c>
      <c r="H982" s="1201"/>
      <c r="I982">
        <f t="shared" si="120"/>
        <v>0</v>
      </c>
      <c r="K982">
        <f t="shared" si="121"/>
        <v>0</v>
      </c>
      <c r="L982" s="1213"/>
      <c r="N982" s="1214" t="str">
        <f t="shared" si="124"/>
        <v xml:space="preserve"> </v>
      </c>
      <c r="O982" s="1215" t="str">
        <f t="shared" si="125"/>
        <v xml:space="preserve"> </v>
      </c>
      <c r="Q982">
        <f t="shared" si="126"/>
        <v>0</v>
      </c>
      <c r="R982">
        <f t="shared" si="127"/>
        <v>0</v>
      </c>
    </row>
    <row r="983" spans="2:18" x14ac:dyDescent="0.2">
      <c r="B983" s="1209"/>
      <c r="C983" s="1210"/>
      <c r="D983" s="939"/>
      <c r="E983" s="1211" t="str">
        <f t="shared" si="122"/>
        <v xml:space="preserve"> </v>
      </c>
      <c r="G983" s="1212" t="str">
        <f t="shared" si="123"/>
        <v xml:space="preserve"> </v>
      </c>
      <c r="H983" s="1201"/>
      <c r="I983">
        <f t="shared" si="120"/>
        <v>0</v>
      </c>
      <c r="K983">
        <f t="shared" si="121"/>
        <v>0</v>
      </c>
      <c r="L983" s="1213"/>
      <c r="N983" s="1214" t="str">
        <f t="shared" si="124"/>
        <v xml:space="preserve"> </v>
      </c>
      <c r="O983" s="1215" t="str">
        <f t="shared" si="125"/>
        <v xml:space="preserve"> </v>
      </c>
      <c r="Q983">
        <f t="shared" si="126"/>
        <v>0</v>
      </c>
      <c r="R983">
        <f t="shared" si="127"/>
        <v>0</v>
      </c>
    </row>
    <row r="984" spans="2:18" x14ac:dyDescent="0.2">
      <c r="B984" s="1209"/>
      <c r="C984" s="1210"/>
      <c r="D984" s="939"/>
      <c r="E984" s="1211" t="str">
        <f t="shared" si="122"/>
        <v xml:space="preserve"> </v>
      </c>
      <c r="G984" s="1212" t="str">
        <f t="shared" si="123"/>
        <v xml:space="preserve"> </v>
      </c>
      <c r="H984" s="1201"/>
      <c r="I984">
        <f t="shared" si="120"/>
        <v>0</v>
      </c>
      <c r="K984">
        <f t="shared" si="121"/>
        <v>0</v>
      </c>
      <c r="L984" s="1213"/>
      <c r="N984" s="1214" t="str">
        <f t="shared" si="124"/>
        <v xml:space="preserve"> </v>
      </c>
      <c r="O984" s="1215" t="str">
        <f t="shared" si="125"/>
        <v xml:space="preserve"> </v>
      </c>
      <c r="Q984">
        <f t="shared" si="126"/>
        <v>0</v>
      </c>
      <c r="R984">
        <f t="shared" si="127"/>
        <v>0</v>
      </c>
    </row>
    <row r="985" spans="2:18" x14ac:dyDescent="0.2">
      <c r="B985" s="1209"/>
      <c r="C985" s="1210"/>
      <c r="D985" s="939"/>
      <c r="E985" s="1211" t="str">
        <f t="shared" si="122"/>
        <v xml:space="preserve"> </v>
      </c>
      <c r="G985" s="1212" t="str">
        <f t="shared" si="123"/>
        <v xml:space="preserve"> </v>
      </c>
      <c r="H985" s="1201"/>
      <c r="I985">
        <f t="shared" si="120"/>
        <v>0</v>
      </c>
      <c r="K985">
        <f t="shared" si="121"/>
        <v>0</v>
      </c>
      <c r="L985" s="1213"/>
      <c r="N985" s="1214" t="str">
        <f t="shared" si="124"/>
        <v xml:space="preserve"> </v>
      </c>
      <c r="O985" s="1215" t="str">
        <f t="shared" si="125"/>
        <v xml:space="preserve"> </v>
      </c>
      <c r="Q985">
        <f t="shared" si="126"/>
        <v>0</v>
      </c>
      <c r="R985">
        <f t="shared" si="127"/>
        <v>0</v>
      </c>
    </row>
    <row r="986" spans="2:18" x14ac:dyDescent="0.2">
      <c r="B986" s="1209"/>
      <c r="C986" s="1210"/>
      <c r="D986" s="939"/>
      <c r="E986" s="1211" t="str">
        <f t="shared" si="122"/>
        <v xml:space="preserve"> </v>
      </c>
      <c r="G986" s="1212" t="str">
        <f t="shared" si="123"/>
        <v xml:space="preserve"> </v>
      </c>
      <c r="H986" s="1201"/>
      <c r="I986">
        <f t="shared" si="120"/>
        <v>0</v>
      </c>
      <c r="K986">
        <f t="shared" si="121"/>
        <v>0</v>
      </c>
      <c r="L986" s="1213"/>
      <c r="N986" s="1214" t="str">
        <f t="shared" si="124"/>
        <v xml:space="preserve"> </v>
      </c>
      <c r="O986" s="1215" t="str">
        <f t="shared" si="125"/>
        <v xml:space="preserve"> </v>
      </c>
      <c r="Q986">
        <f t="shared" si="126"/>
        <v>0</v>
      </c>
      <c r="R986">
        <f t="shared" si="127"/>
        <v>0</v>
      </c>
    </row>
    <row r="987" spans="2:18" x14ac:dyDescent="0.2">
      <c r="B987" s="1209"/>
      <c r="C987" s="1210"/>
      <c r="D987" s="939"/>
      <c r="E987" s="1211" t="str">
        <f t="shared" si="122"/>
        <v xml:space="preserve"> </v>
      </c>
      <c r="G987" s="1212" t="str">
        <f t="shared" si="123"/>
        <v xml:space="preserve"> </v>
      </c>
      <c r="H987" s="1201"/>
      <c r="I987">
        <f t="shared" si="120"/>
        <v>0</v>
      </c>
      <c r="K987">
        <f t="shared" si="121"/>
        <v>0</v>
      </c>
      <c r="L987" s="1213"/>
      <c r="N987" s="1214" t="str">
        <f t="shared" si="124"/>
        <v xml:space="preserve"> </v>
      </c>
      <c r="O987" s="1215" t="str">
        <f t="shared" si="125"/>
        <v xml:space="preserve"> </v>
      </c>
      <c r="Q987">
        <f t="shared" si="126"/>
        <v>0</v>
      </c>
      <c r="R987">
        <f t="shared" si="127"/>
        <v>0</v>
      </c>
    </row>
    <row r="988" spans="2:18" x14ac:dyDescent="0.2">
      <c r="B988" s="1209"/>
      <c r="C988" s="1210"/>
      <c r="D988" s="939"/>
      <c r="E988" s="1211" t="str">
        <f t="shared" si="122"/>
        <v xml:space="preserve"> </v>
      </c>
      <c r="G988" s="1212" t="str">
        <f t="shared" si="123"/>
        <v xml:space="preserve"> </v>
      </c>
      <c r="H988" s="1201"/>
      <c r="I988">
        <f t="shared" si="120"/>
        <v>0</v>
      </c>
      <c r="K988">
        <f t="shared" si="121"/>
        <v>0</v>
      </c>
      <c r="L988" s="1213"/>
      <c r="N988" s="1214" t="str">
        <f t="shared" si="124"/>
        <v xml:space="preserve"> </v>
      </c>
      <c r="O988" s="1215" t="str">
        <f t="shared" si="125"/>
        <v xml:space="preserve"> </v>
      </c>
      <c r="Q988">
        <f t="shared" si="126"/>
        <v>0</v>
      </c>
      <c r="R988">
        <f t="shared" si="127"/>
        <v>0</v>
      </c>
    </row>
    <row r="989" spans="2:18" x14ac:dyDescent="0.2">
      <c r="B989" s="1209"/>
      <c r="C989" s="1210"/>
      <c r="D989" s="939"/>
      <c r="E989" s="1211" t="str">
        <f t="shared" si="122"/>
        <v xml:space="preserve"> </v>
      </c>
      <c r="G989" s="1212" t="str">
        <f t="shared" si="123"/>
        <v xml:space="preserve"> </v>
      </c>
      <c r="H989" s="1201"/>
      <c r="I989">
        <f t="shared" si="120"/>
        <v>0</v>
      </c>
      <c r="K989">
        <f t="shared" si="121"/>
        <v>0</v>
      </c>
      <c r="L989" s="1213"/>
      <c r="N989" s="1214" t="str">
        <f t="shared" si="124"/>
        <v xml:space="preserve"> </v>
      </c>
      <c r="O989" s="1215" t="str">
        <f t="shared" si="125"/>
        <v xml:space="preserve"> </v>
      </c>
      <c r="Q989">
        <f t="shared" si="126"/>
        <v>0</v>
      </c>
      <c r="R989">
        <f t="shared" si="127"/>
        <v>0</v>
      </c>
    </row>
    <row r="990" spans="2:18" x14ac:dyDescent="0.2">
      <c r="B990" s="1209"/>
      <c r="C990" s="1210"/>
      <c r="D990" s="939"/>
      <c r="E990" s="1211" t="str">
        <f t="shared" si="122"/>
        <v xml:space="preserve"> </v>
      </c>
      <c r="G990" s="1212" t="str">
        <f t="shared" si="123"/>
        <v xml:space="preserve"> </v>
      </c>
      <c r="H990" s="1201"/>
      <c r="I990">
        <f t="shared" si="120"/>
        <v>0</v>
      </c>
      <c r="K990">
        <f t="shared" si="121"/>
        <v>0</v>
      </c>
      <c r="L990" s="1213"/>
      <c r="N990" s="1214" t="str">
        <f t="shared" si="124"/>
        <v xml:space="preserve"> </v>
      </c>
      <c r="O990" s="1215" t="str">
        <f t="shared" si="125"/>
        <v xml:space="preserve"> </v>
      </c>
      <c r="Q990">
        <f t="shared" si="126"/>
        <v>0</v>
      </c>
      <c r="R990">
        <f t="shared" si="127"/>
        <v>0</v>
      </c>
    </row>
    <row r="991" spans="2:18" x14ac:dyDescent="0.2">
      <c r="B991" s="1209"/>
      <c r="C991" s="1210"/>
      <c r="D991" s="939"/>
      <c r="E991" s="1211" t="str">
        <f t="shared" si="122"/>
        <v xml:space="preserve"> </v>
      </c>
      <c r="G991" s="1212" t="str">
        <f t="shared" si="123"/>
        <v xml:space="preserve"> </v>
      </c>
      <c r="H991" s="1201"/>
      <c r="I991">
        <f t="shared" si="120"/>
        <v>0</v>
      </c>
      <c r="K991">
        <f t="shared" si="121"/>
        <v>0</v>
      </c>
      <c r="L991" s="1213"/>
      <c r="N991" s="1214" t="str">
        <f t="shared" si="124"/>
        <v xml:space="preserve"> </v>
      </c>
      <c r="O991" s="1215" t="str">
        <f t="shared" si="125"/>
        <v xml:space="preserve"> </v>
      </c>
      <c r="Q991">
        <f t="shared" si="126"/>
        <v>0</v>
      </c>
      <c r="R991">
        <f t="shared" si="127"/>
        <v>0</v>
      </c>
    </row>
    <row r="992" spans="2:18" x14ac:dyDescent="0.2">
      <c r="B992" s="1209"/>
      <c r="C992" s="1210"/>
      <c r="D992" s="939"/>
      <c r="E992" s="1211" t="str">
        <f t="shared" si="122"/>
        <v xml:space="preserve"> </v>
      </c>
      <c r="G992" s="1212" t="str">
        <f t="shared" si="123"/>
        <v xml:space="preserve"> </v>
      </c>
      <c r="H992" s="1201"/>
      <c r="I992">
        <f t="shared" si="120"/>
        <v>0</v>
      </c>
      <c r="K992">
        <f t="shared" si="121"/>
        <v>0</v>
      </c>
      <c r="L992" s="1213"/>
      <c r="N992" s="1214" t="str">
        <f t="shared" si="124"/>
        <v xml:space="preserve"> </v>
      </c>
      <c r="O992" s="1215" t="str">
        <f t="shared" si="125"/>
        <v xml:space="preserve"> </v>
      </c>
      <c r="Q992">
        <f t="shared" si="126"/>
        <v>0</v>
      </c>
      <c r="R992">
        <f t="shared" si="127"/>
        <v>0</v>
      </c>
    </row>
    <row r="993" spans="2:18" x14ac:dyDescent="0.2">
      <c r="B993" s="1209"/>
      <c r="C993" s="1210"/>
      <c r="D993" s="939"/>
      <c r="E993" s="1211" t="str">
        <f t="shared" si="122"/>
        <v xml:space="preserve"> </v>
      </c>
      <c r="G993" s="1212" t="str">
        <f t="shared" si="123"/>
        <v xml:space="preserve"> </v>
      </c>
      <c r="H993" s="1201"/>
      <c r="I993">
        <f t="shared" si="120"/>
        <v>0</v>
      </c>
      <c r="K993">
        <f t="shared" si="121"/>
        <v>0</v>
      </c>
      <c r="L993" s="1213"/>
      <c r="N993" s="1214" t="str">
        <f t="shared" si="124"/>
        <v xml:space="preserve"> </v>
      </c>
      <c r="O993" s="1215" t="str">
        <f t="shared" si="125"/>
        <v xml:space="preserve"> </v>
      </c>
      <c r="Q993">
        <f t="shared" si="126"/>
        <v>0</v>
      </c>
      <c r="R993">
        <f t="shared" si="127"/>
        <v>0</v>
      </c>
    </row>
    <row r="994" spans="2:18" x14ac:dyDescent="0.2">
      <c r="B994" s="1209"/>
      <c r="C994" s="1210"/>
      <c r="D994" s="939"/>
      <c r="E994" s="1211" t="str">
        <f t="shared" si="122"/>
        <v xml:space="preserve"> </v>
      </c>
      <c r="G994" s="1212" t="str">
        <f t="shared" si="123"/>
        <v xml:space="preserve"> </v>
      </c>
      <c r="H994" s="1201"/>
      <c r="I994">
        <f t="shared" si="120"/>
        <v>0</v>
      </c>
      <c r="K994">
        <f t="shared" si="121"/>
        <v>0</v>
      </c>
      <c r="L994" s="1213"/>
      <c r="N994" s="1214" t="str">
        <f t="shared" si="124"/>
        <v xml:space="preserve"> </v>
      </c>
      <c r="O994" s="1215" t="str">
        <f t="shared" si="125"/>
        <v xml:space="preserve"> </v>
      </c>
      <c r="Q994">
        <f t="shared" si="126"/>
        <v>0</v>
      </c>
      <c r="R994">
        <f t="shared" si="127"/>
        <v>0</v>
      </c>
    </row>
    <row r="995" spans="2:18" x14ac:dyDescent="0.2">
      <c r="B995" s="1209"/>
      <c r="C995" s="1210"/>
      <c r="D995" s="939"/>
      <c r="E995" s="1211" t="str">
        <f t="shared" si="122"/>
        <v xml:space="preserve"> </v>
      </c>
      <c r="G995" s="1212" t="str">
        <f t="shared" si="123"/>
        <v xml:space="preserve"> </v>
      </c>
      <c r="H995" s="1201"/>
      <c r="I995">
        <f t="shared" si="120"/>
        <v>0</v>
      </c>
      <c r="K995">
        <f t="shared" si="121"/>
        <v>0</v>
      </c>
      <c r="L995" s="1213"/>
      <c r="N995" s="1214" t="str">
        <f t="shared" si="124"/>
        <v xml:space="preserve"> </v>
      </c>
      <c r="O995" s="1215" t="str">
        <f t="shared" si="125"/>
        <v xml:space="preserve"> </v>
      </c>
      <c r="Q995">
        <f t="shared" si="126"/>
        <v>0</v>
      </c>
      <c r="R995">
        <f t="shared" si="127"/>
        <v>0</v>
      </c>
    </row>
    <row r="996" spans="2:18" x14ac:dyDescent="0.2">
      <c r="B996" s="1209"/>
      <c r="C996" s="1210"/>
      <c r="D996" s="939"/>
      <c r="E996" s="1211" t="str">
        <f t="shared" si="122"/>
        <v xml:space="preserve"> </v>
      </c>
      <c r="G996" s="1212" t="str">
        <f t="shared" si="123"/>
        <v xml:space="preserve"> </v>
      </c>
      <c r="H996" s="1201"/>
      <c r="I996">
        <f t="shared" si="120"/>
        <v>0</v>
      </c>
      <c r="K996">
        <f t="shared" si="121"/>
        <v>0</v>
      </c>
      <c r="L996" s="1213"/>
      <c r="N996" s="1214" t="str">
        <f t="shared" si="124"/>
        <v xml:space="preserve"> </v>
      </c>
      <c r="O996" s="1215" t="str">
        <f t="shared" si="125"/>
        <v xml:space="preserve"> </v>
      </c>
      <c r="Q996">
        <f t="shared" si="126"/>
        <v>0</v>
      </c>
      <c r="R996">
        <f t="shared" si="127"/>
        <v>0</v>
      </c>
    </row>
    <row r="997" spans="2:18" x14ac:dyDescent="0.2">
      <c r="B997" s="1209"/>
      <c r="C997" s="1210"/>
      <c r="D997" s="939"/>
      <c r="E997" s="1211" t="str">
        <f t="shared" si="122"/>
        <v xml:space="preserve"> </v>
      </c>
      <c r="G997" s="1212" t="str">
        <f t="shared" si="123"/>
        <v xml:space="preserve"> </v>
      </c>
      <c r="H997" s="1201"/>
      <c r="I997">
        <f t="shared" si="120"/>
        <v>0</v>
      </c>
      <c r="K997">
        <f t="shared" si="121"/>
        <v>0</v>
      </c>
      <c r="L997" s="1213"/>
      <c r="N997" s="1214" t="str">
        <f t="shared" si="124"/>
        <v xml:space="preserve"> </v>
      </c>
      <c r="O997" s="1215" t="str">
        <f t="shared" si="125"/>
        <v xml:space="preserve"> </v>
      </c>
      <c r="Q997">
        <f t="shared" si="126"/>
        <v>0</v>
      </c>
      <c r="R997">
        <f t="shared" si="127"/>
        <v>0</v>
      </c>
    </row>
    <row r="998" spans="2:18" x14ac:dyDescent="0.2">
      <c r="B998" s="1209"/>
      <c r="C998" s="1210"/>
      <c r="D998" s="939"/>
      <c r="E998" s="1211" t="str">
        <f t="shared" si="122"/>
        <v xml:space="preserve"> </v>
      </c>
      <c r="G998" s="1212" t="str">
        <f t="shared" si="123"/>
        <v xml:space="preserve"> </v>
      </c>
      <c r="H998" s="1201"/>
      <c r="I998">
        <f t="shared" si="120"/>
        <v>0</v>
      </c>
      <c r="K998">
        <f t="shared" si="121"/>
        <v>0</v>
      </c>
      <c r="L998" s="1213"/>
      <c r="N998" s="1214" t="str">
        <f t="shared" si="124"/>
        <v xml:space="preserve"> </v>
      </c>
      <c r="O998" s="1215" t="str">
        <f t="shared" si="125"/>
        <v xml:space="preserve"> </v>
      </c>
      <c r="Q998">
        <f t="shared" si="126"/>
        <v>0</v>
      </c>
      <c r="R998">
        <f t="shared" si="127"/>
        <v>0</v>
      </c>
    </row>
    <row r="999" spans="2:18" x14ac:dyDescent="0.2">
      <c r="B999" s="1209"/>
      <c r="C999" s="1210"/>
      <c r="D999" s="939"/>
      <c r="E999" s="1211" t="str">
        <f t="shared" si="122"/>
        <v xml:space="preserve"> </v>
      </c>
      <c r="G999" s="1212" t="str">
        <f t="shared" si="123"/>
        <v xml:space="preserve"> </v>
      </c>
      <c r="H999" s="1201"/>
      <c r="I999">
        <f t="shared" si="120"/>
        <v>0</v>
      </c>
      <c r="K999">
        <f t="shared" si="121"/>
        <v>0</v>
      </c>
      <c r="L999" s="1213"/>
      <c r="N999" s="1214" t="str">
        <f t="shared" si="124"/>
        <v xml:space="preserve"> </v>
      </c>
      <c r="O999" s="1215" t="str">
        <f t="shared" si="125"/>
        <v xml:space="preserve"> </v>
      </c>
      <c r="Q999">
        <f t="shared" si="126"/>
        <v>0</v>
      </c>
      <c r="R999">
        <f t="shared" si="127"/>
        <v>0</v>
      </c>
    </row>
    <row r="1000" spans="2:18" x14ac:dyDescent="0.2">
      <c r="B1000" s="1209"/>
      <c r="C1000" s="1210"/>
      <c r="D1000" s="939"/>
      <c r="E1000" s="1211" t="str">
        <f t="shared" si="122"/>
        <v xml:space="preserve"> </v>
      </c>
      <c r="G1000" s="1212" t="str">
        <f t="shared" si="123"/>
        <v xml:space="preserve"> </v>
      </c>
      <c r="H1000" s="1201"/>
      <c r="I1000">
        <f t="shared" si="120"/>
        <v>0</v>
      </c>
      <c r="K1000">
        <f t="shared" si="121"/>
        <v>0</v>
      </c>
      <c r="L1000" s="1213"/>
      <c r="N1000" s="1214" t="str">
        <f t="shared" si="124"/>
        <v xml:space="preserve"> </v>
      </c>
      <c r="O1000" s="1215" t="str">
        <f t="shared" si="125"/>
        <v xml:space="preserve"> </v>
      </c>
      <c r="Q1000">
        <f t="shared" si="126"/>
        <v>0</v>
      </c>
      <c r="R1000">
        <f t="shared" si="127"/>
        <v>0</v>
      </c>
    </row>
    <row r="1001" spans="2:18" x14ac:dyDescent="0.2">
      <c r="B1001" s="1209"/>
      <c r="C1001" s="1210"/>
      <c r="D1001" s="939"/>
      <c r="E1001" s="1211" t="str">
        <f t="shared" si="122"/>
        <v xml:space="preserve"> </v>
      </c>
      <c r="G1001" s="1212" t="str">
        <f t="shared" si="123"/>
        <v xml:space="preserve"> </v>
      </c>
      <c r="H1001" s="1201"/>
      <c r="I1001">
        <f t="shared" si="120"/>
        <v>0</v>
      </c>
      <c r="K1001">
        <f t="shared" si="121"/>
        <v>0</v>
      </c>
      <c r="L1001" s="1213"/>
      <c r="N1001" s="1214" t="str">
        <f t="shared" si="124"/>
        <v xml:space="preserve"> </v>
      </c>
      <c r="O1001" s="1215" t="str">
        <f t="shared" si="125"/>
        <v xml:space="preserve"> </v>
      </c>
      <c r="Q1001">
        <f t="shared" si="126"/>
        <v>0</v>
      </c>
      <c r="R1001">
        <f t="shared" si="127"/>
        <v>0</v>
      </c>
    </row>
    <row r="1002" spans="2:18" x14ac:dyDescent="0.2">
      <c r="B1002" s="1209"/>
      <c r="C1002" s="1210"/>
      <c r="D1002" s="939"/>
      <c r="E1002" s="1211" t="str">
        <f t="shared" si="122"/>
        <v xml:space="preserve"> </v>
      </c>
      <c r="G1002" s="1212" t="str">
        <f t="shared" si="123"/>
        <v xml:space="preserve"> </v>
      </c>
      <c r="H1002" s="1201"/>
      <c r="I1002">
        <f t="shared" si="120"/>
        <v>0</v>
      </c>
      <c r="K1002">
        <f t="shared" si="121"/>
        <v>0</v>
      </c>
      <c r="L1002" s="1213"/>
      <c r="N1002" s="1214" t="str">
        <f t="shared" si="124"/>
        <v xml:space="preserve"> </v>
      </c>
      <c r="O1002" s="1215" t="str">
        <f t="shared" si="125"/>
        <v xml:space="preserve"> </v>
      </c>
      <c r="Q1002">
        <f t="shared" si="126"/>
        <v>0</v>
      </c>
      <c r="R1002">
        <f t="shared" si="127"/>
        <v>0</v>
      </c>
    </row>
    <row r="1003" spans="2:18" x14ac:dyDescent="0.2">
      <c r="B1003" s="1209"/>
      <c r="C1003" s="1210"/>
      <c r="D1003" s="939"/>
      <c r="E1003" s="1211" t="str">
        <f t="shared" si="122"/>
        <v xml:space="preserve"> </v>
      </c>
      <c r="G1003" s="1212" t="str">
        <f t="shared" si="123"/>
        <v xml:space="preserve"> </v>
      </c>
      <c r="H1003" s="1201"/>
      <c r="I1003">
        <f t="shared" si="120"/>
        <v>0</v>
      </c>
      <c r="K1003">
        <f t="shared" si="121"/>
        <v>0</v>
      </c>
      <c r="L1003" s="1213"/>
      <c r="N1003" s="1214" t="str">
        <f t="shared" si="124"/>
        <v xml:space="preserve"> </v>
      </c>
      <c r="O1003" s="1215" t="str">
        <f t="shared" si="125"/>
        <v xml:space="preserve"> </v>
      </c>
      <c r="Q1003">
        <f t="shared" si="126"/>
        <v>0</v>
      </c>
      <c r="R1003">
        <f t="shared" si="127"/>
        <v>0</v>
      </c>
    </row>
    <row r="1004" spans="2:18" x14ac:dyDescent="0.2">
      <c r="B1004" s="1209"/>
      <c r="C1004" s="1210"/>
      <c r="D1004" s="939"/>
      <c r="E1004" s="1211" t="str">
        <f t="shared" si="122"/>
        <v xml:space="preserve"> </v>
      </c>
      <c r="G1004" s="1212" t="str">
        <f t="shared" si="123"/>
        <v xml:space="preserve"> </v>
      </c>
      <c r="H1004" s="1201"/>
      <c r="I1004">
        <f t="shared" si="120"/>
        <v>0</v>
      </c>
      <c r="K1004">
        <f t="shared" si="121"/>
        <v>0</v>
      </c>
      <c r="L1004" s="1213"/>
      <c r="N1004" s="1214" t="str">
        <f t="shared" si="124"/>
        <v xml:space="preserve"> </v>
      </c>
      <c r="O1004" s="1215" t="str">
        <f t="shared" si="125"/>
        <v xml:space="preserve"> </v>
      </c>
      <c r="Q1004">
        <f t="shared" si="126"/>
        <v>0</v>
      </c>
      <c r="R1004">
        <f t="shared" si="127"/>
        <v>0</v>
      </c>
    </row>
    <row r="1005" spans="2:18" x14ac:dyDescent="0.2">
      <c r="B1005" s="1209"/>
      <c r="C1005" s="1210"/>
      <c r="D1005" s="939"/>
      <c r="E1005" s="1211" t="str">
        <f t="shared" si="122"/>
        <v xml:space="preserve"> </v>
      </c>
      <c r="G1005" s="1212" t="str">
        <f t="shared" si="123"/>
        <v xml:space="preserve"> </v>
      </c>
      <c r="H1005" s="1201"/>
      <c r="I1005">
        <f t="shared" si="120"/>
        <v>0</v>
      </c>
      <c r="K1005">
        <f t="shared" si="121"/>
        <v>0</v>
      </c>
      <c r="L1005" s="1213"/>
      <c r="N1005" s="1214" t="str">
        <f t="shared" si="124"/>
        <v xml:space="preserve"> </v>
      </c>
      <c r="O1005" s="1215" t="str">
        <f t="shared" si="125"/>
        <v xml:space="preserve"> </v>
      </c>
      <c r="Q1005">
        <f t="shared" si="126"/>
        <v>0</v>
      </c>
      <c r="R1005">
        <f t="shared" si="127"/>
        <v>0</v>
      </c>
    </row>
    <row r="1006" spans="2:18" x14ac:dyDescent="0.2">
      <c r="B1006" s="1209"/>
      <c r="C1006" s="1210"/>
      <c r="D1006" s="939"/>
      <c r="E1006" s="1211" t="str">
        <f t="shared" si="122"/>
        <v xml:space="preserve"> </v>
      </c>
      <c r="G1006" s="1212" t="str">
        <f t="shared" si="123"/>
        <v xml:space="preserve"> </v>
      </c>
      <c r="H1006" s="1201"/>
      <c r="I1006">
        <f t="shared" si="120"/>
        <v>0</v>
      </c>
      <c r="K1006">
        <f t="shared" si="121"/>
        <v>0</v>
      </c>
      <c r="L1006" s="1213"/>
      <c r="N1006" s="1214" t="str">
        <f t="shared" si="124"/>
        <v xml:space="preserve"> </v>
      </c>
      <c r="O1006" s="1215" t="str">
        <f t="shared" si="125"/>
        <v xml:space="preserve"> </v>
      </c>
      <c r="Q1006">
        <f t="shared" si="126"/>
        <v>0</v>
      </c>
      <c r="R1006">
        <f t="shared" si="127"/>
        <v>0</v>
      </c>
    </row>
    <row r="1007" spans="2:18" x14ac:dyDescent="0.2">
      <c r="B1007" s="1209"/>
      <c r="C1007" s="1210"/>
      <c r="D1007" s="939"/>
      <c r="E1007" s="1211" t="str">
        <f t="shared" si="122"/>
        <v xml:space="preserve"> </v>
      </c>
      <c r="G1007" s="1212" t="str">
        <f t="shared" si="123"/>
        <v xml:space="preserve"> </v>
      </c>
      <c r="H1007" s="1201"/>
      <c r="I1007">
        <f t="shared" si="120"/>
        <v>0</v>
      </c>
      <c r="K1007">
        <f t="shared" si="121"/>
        <v>0</v>
      </c>
      <c r="L1007" s="1213"/>
      <c r="N1007" s="1214" t="str">
        <f t="shared" si="124"/>
        <v xml:space="preserve"> </v>
      </c>
      <c r="O1007" s="1215" t="str">
        <f t="shared" si="125"/>
        <v xml:space="preserve"> </v>
      </c>
      <c r="Q1007">
        <f t="shared" si="126"/>
        <v>0</v>
      </c>
      <c r="R1007">
        <f t="shared" si="127"/>
        <v>0</v>
      </c>
    </row>
    <row r="1008" spans="2:18" x14ac:dyDescent="0.2">
      <c r="B1008" s="1209"/>
      <c r="C1008" s="1210"/>
      <c r="D1008" s="939"/>
      <c r="E1008" s="1211" t="str">
        <f t="shared" si="122"/>
        <v xml:space="preserve"> </v>
      </c>
      <c r="G1008" s="1212" t="str">
        <f t="shared" si="123"/>
        <v xml:space="preserve"> </v>
      </c>
      <c r="H1008" s="1201"/>
      <c r="I1008">
        <f t="shared" si="120"/>
        <v>0</v>
      </c>
      <c r="K1008">
        <f t="shared" si="121"/>
        <v>0</v>
      </c>
      <c r="L1008" s="1213"/>
      <c r="N1008" s="1214" t="str">
        <f t="shared" si="124"/>
        <v xml:space="preserve"> </v>
      </c>
      <c r="O1008" s="1215" t="str">
        <f t="shared" si="125"/>
        <v xml:space="preserve"> </v>
      </c>
      <c r="Q1008">
        <f t="shared" si="126"/>
        <v>0</v>
      </c>
      <c r="R1008">
        <f t="shared" si="127"/>
        <v>0</v>
      </c>
    </row>
    <row r="1009" spans="2:18" x14ac:dyDescent="0.2">
      <c r="B1009" s="1209"/>
      <c r="C1009" s="1210"/>
      <c r="D1009" s="939"/>
      <c r="E1009" s="1211" t="str">
        <f t="shared" si="122"/>
        <v xml:space="preserve"> </v>
      </c>
      <c r="G1009" s="1212" t="str">
        <f t="shared" si="123"/>
        <v xml:space="preserve"> </v>
      </c>
      <c r="H1009" s="1201"/>
      <c r="I1009">
        <f t="shared" si="120"/>
        <v>0</v>
      </c>
      <c r="K1009">
        <f t="shared" si="121"/>
        <v>0</v>
      </c>
      <c r="L1009" s="1213"/>
      <c r="N1009" s="1214" t="str">
        <f t="shared" si="124"/>
        <v xml:space="preserve"> </v>
      </c>
      <c r="O1009" s="1215" t="str">
        <f t="shared" si="125"/>
        <v xml:space="preserve"> </v>
      </c>
      <c r="Q1009">
        <f t="shared" si="126"/>
        <v>0</v>
      </c>
      <c r="R1009">
        <f t="shared" si="127"/>
        <v>0</v>
      </c>
    </row>
    <row r="1010" spans="2:18" x14ac:dyDescent="0.2">
      <c r="B1010" s="1209"/>
      <c r="C1010" s="1210"/>
      <c r="D1010" s="939"/>
      <c r="E1010" s="1211" t="str">
        <f t="shared" si="122"/>
        <v xml:space="preserve"> </v>
      </c>
      <c r="G1010" s="1212" t="str">
        <f t="shared" si="123"/>
        <v xml:space="preserve"> </v>
      </c>
      <c r="H1010" s="1201"/>
      <c r="I1010">
        <f t="shared" si="120"/>
        <v>0</v>
      </c>
      <c r="K1010">
        <f t="shared" si="121"/>
        <v>0</v>
      </c>
      <c r="L1010" s="1213"/>
      <c r="N1010" s="1214" t="str">
        <f t="shared" si="124"/>
        <v xml:space="preserve"> </v>
      </c>
      <c r="O1010" s="1215" t="str">
        <f t="shared" si="125"/>
        <v xml:space="preserve"> </v>
      </c>
      <c r="Q1010">
        <f t="shared" si="126"/>
        <v>0</v>
      </c>
      <c r="R1010">
        <f t="shared" si="127"/>
        <v>0</v>
      </c>
    </row>
    <row r="1011" spans="2:18" x14ac:dyDescent="0.2">
      <c r="B1011" s="1209"/>
      <c r="C1011" s="1210"/>
      <c r="D1011" s="939"/>
      <c r="E1011" s="1211" t="str">
        <f t="shared" si="122"/>
        <v xml:space="preserve"> </v>
      </c>
      <c r="G1011" s="1212" t="str">
        <f t="shared" si="123"/>
        <v xml:space="preserve"> </v>
      </c>
      <c r="H1011" s="1201"/>
      <c r="I1011">
        <f t="shared" si="120"/>
        <v>0</v>
      </c>
      <c r="K1011">
        <f t="shared" si="121"/>
        <v>0</v>
      </c>
      <c r="L1011" s="1213"/>
      <c r="N1011" s="1214" t="str">
        <f t="shared" si="124"/>
        <v xml:space="preserve"> </v>
      </c>
      <c r="O1011" s="1215" t="str">
        <f t="shared" si="125"/>
        <v xml:space="preserve"> </v>
      </c>
      <c r="Q1011">
        <f t="shared" si="126"/>
        <v>0</v>
      </c>
      <c r="R1011">
        <f t="shared" si="127"/>
        <v>0</v>
      </c>
    </row>
    <row r="1012" spans="2:18" x14ac:dyDescent="0.2">
      <c r="B1012" s="1209"/>
      <c r="C1012" s="1210"/>
      <c r="D1012" s="939"/>
      <c r="E1012" s="1211" t="str">
        <f t="shared" si="122"/>
        <v xml:space="preserve"> </v>
      </c>
      <c r="G1012" s="1212" t="str">
        <f t="shared" si="123"/>
        <v xml:space="preserve"> </v>
      </c>
      <c r="H1012" s="1201"/>
      <c r="I1012">
        <f t="shared" si="120"/>
        <v>0</v>
      </c>
      <c r="K1012">
        <f t="shared" si="121"/>
        <v>0</v>
      </c>
      <c r="L1012" s="1213"/>
      <c r="N1012" s="1214" t="str">
        <f t="shared" si="124"/>
        <v xml:space="preserve"> </v>
      </c>
      <c r="O1012" s="1215" t="str">
        <f t="shared" si="125"/>
        <v xml:space="preserve"> </v>
      </c>
      <c r="Q1012">
        <f t="shared" si="126"/>
        <v>0</v>
      </c>
      <c r="R1012">
        <f t="shared" si="127"/>
        <v>0</v>
      </c>
    </row>
    <row r="1013" spans="2:18" x14ac:dyDescent="0.2">
      <c r="B1013" s="1209"/>
      <c r="C1013" s="1210"/>
      <c r="D1013" s="939"/>
      <c r="E1013" s="1211" t="str">
        <f t="shared" si="122"/>
        <v xml:space="preserve"> </v>
      </c>
      <c r="G1013" s="1212" t="str">
        <f t="shared" si="123"/>
        <v xml:space="preserve"> </v>
      </c>
      <c r="H1013" s="1201"/>
      <c r="I1013">
        <f t="shared" si="120"/>
        <v>0</v>
      </c>
      <c r="K1013">
        <f t="shared" si="121"/>
        <v>0</v>
      </c>
      <c r="L1013" s="1213"/>
      <c r="N1013" s="1214" t="str">
        <f t="shared" si="124"/>
        <v xml:space="preserve"> </v>
      </c>
      <c r="O1013" s="1215" t="str">
        <f t="shared" si="125"/>
        <v xml:space="preserve"> </v>
      </c>
      <c r="Q1013">
        <f t="shared" si="126"/>
        <v>0</v>
      </c>
      <c r="R1013">
        <f t="shared" si="127"/>
        <v>0</v>
      </c>
    </row>
    <row r="1014" spans="2:18" x14ac:dyDescent="0.2">
      <c r="B1014" s="1209"/>
      <c r="C1014" s="1210"/>
      <c r="D1014" s="939"/>
      <c r="E1014" s="1211" t="str">
        <f t="shared" si="122"/>
        <v xml:space="preserve"> </v>
      </c>
      <c r="G1014" s="1212" t="str">
        <f t="shared" si="123"/>
        <v xml:space="preserve"> </v>
      </c>
      <c r="H1014" s="1201"/>
      <c r="I1014">
        <f t="shared" si="120"/>
        <v>0</v>
      </c>
      <c r="K1014">
        <f t="shared" si="121"/>
        <v>0</v>
      </c>
      <c r="L1014" s="1213"/>
      <c r="N1014" s="1214" t="str">
        <f t="shared" si="124"/>
        <v xml:space="preserve"> </v>
      </c>
      <c r="O1014" s="1215" t="str">
        <f t="shared" si="125"/>
        <v xml:space="preserve"> </v>
      </c>
      <c r="Q1014">
        <f t="shared" si="126"/>
        <v>0</v>
      </c>
      <c r="R1014">
        <f t="shared" si="127"/>
        <v>0</v>
      </c>
    </row>
    <row r="1015" spans="2:18" x14ac:dyDescent="0.2">
      <c r="B1015" s="1209"/>
      <c r="C1015" s="1210"/>
      <c r="D1015" s="939"/>
      <c r="E1015" s="1211" t="str">
        <f t="shared" si="122"/>
        <v xml:space="preserve"> </v>
      </c>
      <c r="G1015" s="1212" t="str">
        <f t="shared" si="123"/>
        <v xml:space="preserve"> </v>
      </c>
      <c r="H1015" s="1201"/>
      <c r="I1015">
        <f t="shared" si="120"/>
        <v>0</v>
      </c>
      <c r="K1015">
        <f t="shared" si="121"/>
        <v>0</v>
      </c>
      <c r="L1015" s="1213"/>
      <c r="N1015" s="1214" t="str">
        <f t="shared" si="124"/>
        <v xml:space="preserve"> </v>
      </c>
      <c r="O1015" s="1215" t="str">
        <f t="shared" si="125"/>
        <v xml:space="preserve"> </v>
      </c>
      <c r="Q1015">
        <f t="shared" si="126"/>
        <v>0</v>
      </c>
      <c r="R1015">
        <f t="shared" si="127"/>
        <v>0</v>
      </c>
    </row>
    <row r="1016" spans="2:18" x14ac:dyDescent="0.2">
      <c r="B1016" s="1209"/>
      <c r="C1016" s="1210"/>
      <c r="D1016" s="939"/>
      <c r="E1016" s="1211" t="str">
        <f t="shared" si="122"/>
        <v xml:space="preserve"> </v>
      </c>
      <c r="G1016" s="1212" t="str">
        <f t="shared" si="123"/>
        <v xml:space="preserve"> </v>
      </c>
      <c r="H1016" s="1201"/>
      <c r="I1016">
        <f t="shared" si="120"/>
        <v>0</v>
      </c>
      <c r="K1016">
        <f t="shared" si="121"/>
        <v>0</v>
      </c>
      <c r="L1016" s="1213"/>
      <c r="N1016" s="1214" t="str">
        <f t="shared" si="124"/>
        <v xml:space="preserve"> </v>
      </c>
      <c r="O1016" s="1215" t="str">
        <f t="shared" si="125"/>
        <v xml:space="preserve"> </v>
      </c>
      <c r="Q1016">
        <f t="shared" si="126"/>
        <v>0</v>
      </c>
      <c r="R1016">
        <f t="shared" si="127"/>
        <v>0</v>
      </c>
    </row>
    <row r="1017" spans="2:18" x14ac:dyDescent="0.2">
      <c r="B1017" s="1209"/>
      <c r="C1017" s="1210"/>
      <c r="D1017" s="939"/>
      <c r="E1017" s="1211" t="str">
        <f t="shared" si="122"/>
        <v xml:space="preserve"> </v>
      </c>
      <c r="G1017" s="1212" t="str">
        <f t="shared" si="123"/>
        <v xml:space="preserve"> </v>
      </c>
      <c r="H1017" s="1201"/>
      <c r="I1017">
        <f t="shared" si="120"/>
        <v>0</v>
      </c>
      <c r="K1017">
        <f t="shared" si="121"/>
        <v>0</v>
      </c>
      <c r="L1017" s="1213"/>
      <c r="N1017" s="1214" t="str">
        <f t="shared" si="124"/>
        <v xml:space="preserve"> </v>
      </c>
      <c r="O1017" s="1215" t="str">
        <f t="shared" si="125"/>
        <v xml:space="preserve"> </v>
      </c>
      <c r="Q1017">
        <f t="shared" si="126"/>
        <v>0</v>
      </c>
      <c r="R1017">
        <f t="shared" si="127"/>
        <v>0</v>
      </c>
    </row>
    <row r="1018" spans="2:18" x14ac:dyDescent="0.2">
      <c r="B1018" s="1209"/>
      <c r="C1018" s="1210"/>
      <c r="D1018" s="939"/>
      <c r="E1018" s="1211" t="str">
        <f t="shared" si="122"/>
        <v xml:space="preserve"> </v>
      </c>
      <c r="G1018" s="1212" t="str">
        <f t="shared" si="123"/>
        <v xml:space="preserve"> </v>
      </c>
      <c r="H1018" s="1201"/>
      <c r="I1018">
        <f t="shared" si="120"/>
        <v>0</v>
      </c>
      <c r="K1018">
        <f t="shared" si="121"/>
        <v>0</v>
      </c>
      <c r="L1018" s="1213"/>
      <c r="N1018" s="1214" t="str">
        <f t="shared" si="124"/>
        <v xml:space="preserve"> </v>
      </c>
      <c r="O1018" s="1215" t="str">
        <f t="shared" si="125"/>
        <v xml:space="preserve"> </v>
      </c>
      <c r="Q1018">
        <f t="shared" si="126"/>
        <v>0</v>
      </c>
      <c r="R1018">
        <f t="shared" si="127"/>
        <v>0</v>
      </c>
    </row>
    <row r="1019" spans="2:18" x14ac:dyDescent="0.2">
      <c r="B1019" s="1209"/>
      <c r="C1019" s="1210"/>
      <c r="D1019" s="939"/>
      <c r="E1019" s="1211" t="str">
        <f t="shared" si="122"/>
        <v xml:space="preserve"> </v>
      </c>
      <c r="G1019" s="1212" t="str">
        <f t="shared" si="123"/>
        <v xml:space="preserve"> </v>
      </c>
      <c r="H1019" s="1201"/>
      <c r="I1019">
        <f t="shared" si="120"/>
        <v>0</v>
      </c>
      <c r="K1019">
        <f t="shared" si="121"/>
        <v>0</v>
      </c>
      <c r="L1019" s="1213"/>
      <c r="N1019" s="1214" t="str">
        <f t="shared" si="124"/>
        <v xml:space="preserve"> </v>
      </c>
      <c r="O1019" s="1215" t="str">
        <f t="shared" si="125"/>
        <v xml:space="preserve"> </v>
      </c>
      <c r="Q1019">
        <f t="shared" si="126"/>
        <v>0</v>
      </c>
      <c r="R1019">
        <f t="shared" si="127"/>
        <v>0</v>
      </c>
    </row>
    <row r="1020" spans="2:18" x14ac:dyDescent="0.2">
      <c r="B1020" s="1209"/>
      <c r="C1020" s="1210"/>
      <c r="D1020" s="939"/>
      <c r="E1020" s="1211" t="str">
        <f t="shared" si="122"/>
        <v xml:space="preserve"> </v>
      </c>
      <c r="G1020" s="1212" t="str">
        <f t="shared" si="123"/>
        <v xml:space="preserve"> </v>
      </c>
      <c r="H1020" s="1201"/>
      <c r="I1020">
        <f t="shared" si="120"/>
        <v>0</v>
      </c>
      <c r="K1020">
        <f t="shared" si="121"/>
        <v>0</v>
      </c>
      <c r="L1020" s="1213"/>
      <c r="N1020" s="1214" t="str">
        <f t="shared" si="124"/>
        <v xml:space="preserve"> </v>
      </c>
      <c r="O1020" s="1215" t="str">
        <f t="shared" si="125"/>
        <v xml:space="preserve"> </v>
      </c>
      <c r="Q1020">
        <f t="shared" si="126"/>
        <v>0</v>
      </c>
      <c r="R1020">
        <f t="shared" si="127"/>
        <v>0</v>
      </c>
    </row>
    <row r="1021" spans="2:18" x14ac:dyDescent="0.2">
      <c r="B1021" s="1209"/>
      <c r="C1021" s="1210"/>
      <c r="D1021" s="939"/>
      <c r="E1021" s="1211" t="str">
        <f t="shared" si="122"/>
        <v xml:space="preserve"> </v>
      </c>
      <c r="G1021" s="1212" t="str">
        <f t="shared" si="123"/>
        <v xml:space="preserve"> </v>
      </c>
      <c r="H1021" s="1201"/>
      <c r="I1021">
        <f t="shared" si="120"/>
        <v>0</v>
      </c>
      <c r="K1021">
        <f t="shared" si="121"/>
        <v>0</v>
      </c>
      <c r="L1021" s="1213"/>
      <c r="N1021" s="1214" t="str">
        <f t="shared" si="124"/>
        <v xml:space="preserve"> </v>
      </c>
      <c r="O1021" s="1215" t="str">
        <f t="shared" si="125"/>
        <v xml:space="preserve"> </v>
      </c>
      <c r="Q1021">
        <f t="shared" si="126"/>
        <v>0</v>
      </c>
      <c r="R1021">
        <f t="shared" si="127"/>
        <v>0</v>
      </c>
    </row>
    <row r="1022" spans="2:18" x14ac:dyDescent="0.2">
      <c r="B1022" s="1209"/>
      <c r="C1022" s="1210"/>
      <c r="D1022" s="939"/>
      <c r="E1022" s="1211" t="str">
        <f t="shared" si="122"/>
        <v xml:space="preserve"> </v>
      </c>
      <c r="G1022" s="1212" t="str">
        <f t="shared" si="123"/>
        <v xml:space="preserve"> </v>
      </c>
      <c r="H1022" s="1201"/>
      <c r="I1022">
        <f t="shared" si="120"/>
        <v>0</v>
      </c>
      <c r="K1022">
        <f t="shared" si="121"/>
        <v>0</v>
      </c>
      <c r="L1022" s="1213"/>
      <c r="N1022" s="1214" t="str">
        <f t="shared" si="124"/>
        <v xml:space="preserve"> </v>
      </c>
      <c r="O1022" s="1215" t="str">
        <f t="shared" si="125"/>
        <v xml:space="preserve"> </v>
      </c>
      <c r="Q1022">
        <f t="shared" si="126"/>
        <v>0</v>
      </c>
      <c r="R1022">
        <f t="shared" si="127"/>
        <v>0</v>
      </c>
    </row>
    <row r="1023" spans="2:18" x14ac:dyDescent="0.2">
      <c r="B1023" s="1209"/>
      <c r="C1023" s="1210"/>
      <c r="D1023" s="939"/>
      <c r="E1023" s="1211" t="str">
        <f t="shared" si="122"/>
        <v xml:space="preserve"> </v>
      </c>
      <c r="G1023" s="1212" t="str">
        <f t="shared" si="123"/>
        <v xml:space="preserve"> </v>
      </c>
      <c r="H1023" s="1201"/>
      <c r="I1023">
        <f t="shared" si="120"/>
        <v>0</v>
      </c>
      <c r="K1023">
        <f t="shared" si="121"/>
        <v>0</v>
      </c>
      <c r="L1023" s="1213"/>
      <c r="N1023" s="1214" t="str">
        <f t="shared" si="124"/>
        <v xml:space="preserve"> </v>
      </c>
      <c r="O1023" s="1215" t="str">
        <f t="shared" si="125"/>
        <v xml:space="preserve"> </v>
      </c>
      <c r="Q1023">
        <f t="shared" si="126"/>
        <v>0</v>
      </c>
      <c r="R1023">
        <f t="shared" si="127"/>
        <v>0</v>
      </c>
    </row>
    <row r="1024" spans="2:18" x14ac:dyDescent="0.2">
      <c r="B1024" s="1209"/>
      <c r="C1024" s="1210"/>
      <c r="D1024" s="939"/>
      <c r="E1024" s="1211" t="str">
        <f t="shared" si="122"/>
        <v xml:space="preserve"> </v>
      </c>
      <c r="G1024" s="1212" t="str">
        <f t="shared" si="123"/>
        <v xml:space="preserve"> </v>
      </c>
      <c r="H1024" s="1201"/>
      <c r="I1024">
        <f t="shared" si="120"/>
        <v>0</v>
      </c>
      <c r="K1024">
        <f t="shared" si="121"/>
        <v>0</v>
      </c>
      <c r="L1024" s="1213"/>
      <c r="N1024" s="1214" t="str">
        <f t="shared" si="124"/>
        <v xml:space="preserve"> </v>
      </c>
      <c r="O1024" s="1215" t="str">
        <f t="shared" si="125"/>
        <v xml:space="preserve"> </v>
      </c>
      <c r="Q1024">
        <f t="shared" si="126"/>
        <v>0</v>
      </c>
      <c r="R1024">
        <f t="shared" si="127"/>
        <v>0</v>
      </c>
    </row>
    <row r="1025" spans="2:18" x14ac:dyDescent="0.2">
      <c r="B1025" s="1209"/>
      <c r="C1025" s="1210"/>
      <c r="D1025" s="939"/>
      <c r="E1025" s="1211" t="str">
        <f t="shared" si="122"/>
        <v xml:space="preserve"> </v>
      </c>
      <c r="G1025" s="1212" t="str">
        <f t="shared" si="123"/>
        <v xml:space="preserve"> </v>
      </c>
      <c r="H1025" s="1201"/>
      <c r="I1025">
        <f t="shared" si="120"/>
        <v>0</v>
      </c>
      <c r="K1025">
        <f t="shared" si="121"/>
        <v>0</v>
      </c>
      <c r="L1025" s="1213"/>
      <c r="N1025" s="1214" t="str">
        <f t="shared" si="124"/>
        <v xml:space="preserve"> </v>
      </c>
      <c r="O1025" s="1215" t="str">
        <f t="shared" si="125"/>
        <v xml:space="preserve"> </v>
      </c>
      <c r="Q1025">
        <f t="shared" si="126"/>
        <v>0</v>
      </c>
      <c r="R1025">
        <f t="shared" si="127"/>
        <v>0</v>
      </c>
    </row>
    <row r="1026" spans="2:18" x14ac:dyDescent="0.2">
      <c r="B1026" s="1209"/>
      <c r="C1026" s="1210"/>
      <c r="D1026" s="939"/>
      <c r="E1026" s="1211" t="str">
        <f t="shared" si="122"/>
        <v xml:space="preserve"> </v>
      </c>
      <c r="G1026" s="1212" t="str">
        <f t="shared" si="123"/>
        <v xml:space="preserve"> </v>
      </c>
      <c r="H1026" s="1201"/>
      <c r="I1026">
        <f t="shared" si="120"/>
        <v>0</v>
      </c>
      <c r="K1026">
        <f t="shared" si="121"/>
        <v>0</v>
      </c>
      <c r="L1026" s="1213"/>
      <c r="N1026" s="1214" t="str">
        <f t="shared" si="124"/>
        <v xml:space="preserve"> </v>
      </c>
      <c r="O1026" s="1215" t="str">
        <f t="shared" si="125"/>
        <v xml:space="preserve"> </v>
      </c>
      <c r="Q1026">
        <f t="shared" si="126"/>
        <v>0</v>
      </c>
      <c r="R1026">
        <f t="shared" si="127"/>
        <v>0</v>
      </c>
    </row>
    <row r="1027" spans="2:18" x14ac:dyDescent="0.2">
      <c r="B1027" s="1209"/>
      <c r="C1027" s="1210"/>
      <c r="D1027" s="939"/>
      <c r="E1027" s="1211" t="str">
        <f t="shared" si="122"/>
        <v xml:space="preserve"> </v>
      </c>
      <c r="G1027" s="1212" t="str">
        <f t="shared" si="123"/>
        <v xml:space="preserve"> </v>
      </c>
      <c r="H1027" s="1201"/>
      <c r="I1027">
        <f t="shared" si="120"/>
        <v>0</v>
      </c>
      <c r="K1027">
        <f t="shared" si="121"/>
        <v>0</v>
      </c>
      <c r="L1027" s="1213"/>
      <c r="N1027" s="1214" t="str">
        <f t="shared" si="124"/>
        <v xml:space="preserve"> </v>
      </c>
      <c r="O1027" s="1215" t="str">
        <f t="shared" si="125"/>
        <v xml:space="preserve"> </v>
      </c>
      <c r="Q1027">
        <f t="shared" si="126"/>
        <v>0</v>
      </c>
      <c r="R1027">
        <f t="shared" si="127"/>
        <v>0</v>
      </c>
    </row>
    <row r="1028" spans="2:18" x14ac:dyDescent="0.2">
      <c r="B1028" s="1209"/>
      <c r="C1028" s="1210"/>
      <c r="D1028" s="939"/>
      <c r="E1028" s="1211" t="str">
        <f t="shared" si="122"/>
        <v xml:space="preserve"> </v>
      </c>
      <c r="G1028" s="1212" t="str">
        <f t="shared" si="123"/>
        <v xml:space="preserve"> </v>
      </c>
      <c r="H1028" s="1201"/>
      <c r="I1028">
        <f t="shared" si="120"/>
        <v>0</v>
      </c>
      <c r="K1028">
        <f t="shared" si="121"/>
        <v>0</v>
      </c>
      <c r="L1028" s="1213"/>
      <c r="N1028" s="1214" t="str">
        <f t="shared" si="124"/>
        <v xml:space="preserve"> </v>
      </c>
      <c r="O1028" s="1215" t="str">
        <f t="shared" si="125"/>
        <v xml:space="preserve"> </v>
      </c>
      <c r="Q1028">
        <f t="shared" si="126"/>
        <v>0</v>
      </c>
      <c r="R1028">
        <f t="shared" si="127"/>
        <v>0</v>
      </c>
    </row>
    <row r="1029" spans="2:18" x14ac:dyDescent="0.2">
      <c r="B1029" s="1209"/>
      <c r="C1029" s="1210"/>
      <c r="D1029" s="939"/>
      <c r="E1029" s="1211" t="str">
        <f t="shared" si="122"/>
        <v xml:space="preserve"> </v>
      </c>
      <c r="G1029" s="1212" t="str">
        <f t="shared" si="123"/>
        <v xml:space="preserve"> </v>
      </c>
      <c r="H1029" s="1201"/>
      <c r="I1029">
        <f t="shared" si="120"/>
        <v>0</v>
      </c>
      <c r="K1029">
        <f t="shared" si="121"/>
        <v>0</v>
      </c>
      <c r="L1029" s="1213"/>
      <c r="N1029" s="1214" t="str">
        <f t="shared" si="124"/>
        <v xml:space="preserve"> </v>
      </c>
      <c r="O1029" s="1215" t="str">
        <f t="shared" si="125"/>
        <v xml:space="preserve"> </v>
      </c>
      <c r="Q1029">
        <f t="shared" si="126"/>
        <v>0</v>
      </c>
      <c r="R1029">
        <f t="shared" si="127"/>
        <v>0</v>
      </c>
    </row>
    <row r="1030" spans="2:18" x14ac:dyDescent="0.2">
      <c r="B1030" s="1209"/>
      <c r="C1030" s="1210"/>
      <c r="D1030" s="939"/>
      <c r="E1030" s="1211" t="str">
        <f t="shared" si="122"/>
        <v xml:space="preserve"> </v>
      </c>
      <c r="G1030" s="1212" t="str">
        <f t="shared" si="123"/>
        <v xml:space="preserve"> </v>
      </c>
      <c r="H1030" s="1201"/>
      <c r="I1030">
        <f t="shared" si="120"/>
        <v>0</v>
      </c>
      <c r="K1030">
        <f t="shared" si="121"/>
        <v>0</v>
      </c>
      <c r="L1030" s="1213"/>
      <c r="N1030" s="1214" t="str">
        <f t="shared" si="124"/>
        <v xml:space="preserve"> </v>
      </c>
      <c r="O1030" s="1215" t="str">
        <f t="shared" si="125"/>
        <v xml:space="preserve"> </v>
      </c>
      <c r="Q1030">
        <f t="shared" si="126"/>
        <v>0</v>
      </c>
      <c r="R1030">
        <f t="shared" si="127"/>
        <v>0</v>
      </c>
    </row>
    <row r="1031" spans="2:18" x14ac:dyDescent="0.2">
      <c r="B1031" s="1209"/>
      <c r="C1031" s="1210"/>
      <c r="D1031" s="939"/>
      <c r="E1031" s="1211" t="str">
        <f t="shared" si="122"/>
        <v xml:space="preserve"> </v>
      </c>
      <c r="G1031" s="1212" t="str">
        <f t="shared" si="123"/>
        <v xml:space="preserve"> </v>
      </c>
      <c r="H1031" s="1201"/>
      <c r="I1031">
        <f t="shared" si="120"/>
        <v>0</v>
      </c>
      <c r="K1031">
        <f t="shared" si="121"/>
        <v>0</v>
      </c>
      <c r="L1031" s="1213"/>
      <c r="N1031" s="1214" t="str">
        <f t="shared" si="124"/>
        <v xml:space="preserve"> </v>
      </c>
      <c r="O1031" s="1215" t="str">
        <f t="shared" si="125"/>
        <v xml:space="preserve"> </v>
      </c>
      <c r="Q1031">
        <f t="shared" si="126"/>
        <v>0</v>
      </c>
      <c r="R1031">
        <f t="shared" si="127"/>
        <v>0</v>
      </c>
    </row>
    <row r="1032" spans="2:18" x14ac:dyDescent="0.2">
      <c r="B1032" s="1209"/>
      <c r="C1032" s="1210"/>
      <c r="D1032" s="939"/>
      <c r="E1032" s="1211" t="str">
        <f t="shared" si="122"/>
        <v xml:space="preserve"> </v>
      </c>
      <c r="G1032" s="1212" t="str">
        <f t="shared" si="123"/>
        <v xml:space="preserve"> </v>
      </c>
      <c r="H1032" s="1201"/>
      <c r="I1032">
        <f t="shared" ref="I1032:I1095" si="128">(J1032+C1032)/12</f>
        <v>0</v>
      </c>
      <c r="K1032">
        <f t="shared" ref="K1032:K1097" si="129">I1032+B1032</f>
        <v>0</v>
      </c>
      <c r="L1032" s="1213"/>
      <c r="N1032" s="1214" t="str">
        <f t="shared" si="124"/>
        <v xml:space="preserve"> </v>
      </c>
      <c r="O1032" s="1215" t="str">
        <f t="shared" si="125"/>
        <v xml:space="preserve"> </v>
      </c>
      <c r="Q1032">
        <f t="shared" si="126"/>
        <v>0</v>
      </c>
      <c r="R1032">
        <f t="shared" si="127"/>
        <v>0</v>
      </c>
    </row>
    <row r="1033" spans="2:18" x14ac:dyDescent="0.2">
      <c r="B1033" s="1209"/>
      <c r="C1033" s="1210"/>
      <c r="D1033" s="939"/>
      <c r="E1033" s="1211" t="str">
        <f t="shared" si="122"/>
        <v xml:space="preserve"> </v>
      </c>
      <c r="G1033" s="1212" t="str">
        <f t="shared" si="123"/>
        <v xml:space="preserve"> </v>
      </c>
      <c r="H1033" s="1201"/>
      <c r="I1033">
        <f t="shared" si="128"/>
        <v>0</v>
      </c>
      <c r="K1033">
        <f t="shared" si="129"/>
        <v>0</v>
      </c>
      <c r="L1033" s="1213"/>
      <c r="N1033" s="1214" t="str">
        <f t="shared" si="124"/>
        <v xml:space="preserve"> </v>
      </c>
      <c r="O1033" s="1215" t="str">
        <f t="shared" si="125"/>
        <v xml:space="preserve"> </v>
      </c>
      <c r="Q1033">
        <f t="shared" si="126"/>
        <v>0</v>
      </c>
      <c r="R1033">
        <f t="shared" si="127"/>
        <v>0</v>
      </c>
    </row>
    <row r="1034" spans="2:18" x14ac:dyDescent="0.2">
      <c r="B1034" s="1209"/>
      <c r="C1034" s="1210"/>
      <c r="D1034" s="939"/>
      <c r="E1034" s="1211" t="str">
        <f t="shared" ref="E1034:E1096" si="130">IF(K1034=0," ",IF(K1034&gt;0,K1034*12*25.4))</f>
        <v xml:space="preserve"> </v>
      </c>
      <c r="G1034" s="1212" t="str">
        <f t="shared" ref="G1034:G1097" si="131">IF(K1034=0," ",IF(K1034&gt;0,E1034/1000))</f>
        <v xml:space="preserve"> </v>
      </c>
      <c r="H1034" s="1201"/>
      <c r="I1034">
        <f t="shared" si="128"/>
        <v>0</v>
      </c>
      <c r="K1034">
        <f t="shared" si="129"/>
        <v>0</v>
      </c>
      <c r="L1034" s="1213"/>
      <c r="N1034" s="1214" t="str">
        <f t="shared" ref="N1034:N1097" si="132">IF(R1034=0," ",IF(R1034&gt;0,TRUNC(R1034)))</f>
        <v xml:space="preserve"> </v>
      </c>
      <c r="O1034" s="1215" t="str">
        <f t="shared" ref="O1034:O1097" si="133">IF(R1034=0," ",IF(R1034&gt;0,(R1034-N1034)*12))</f>
        <v xml:space="preserve"> </v>
      </c>
      <c r="Q1034">
        <f t="shared" ref="Q1034:Q1097" si="134">L1034/25.4</f>
        <v>0</v>
      </c>
      <c r="R1034">
        <f t="shared" ref="R1034:R1097" si="135">Q1034/12</f>
        <v>0</v>
      </c>
    </row>
    <row r="1035" spans="2:18" x14ac:dyDescent="0.2">
      <c r="B1035" s="1209"/>
      <c r="C1035" s="1210"/>
      <c r="D1035" s="939"/>
      <c r="E1035" s="1211" t="str">
        <f t="shared" si="130"/>
        <v xml:space="preserve"> </v>
      </c>
      <c r="G1035" s="1212" t="str">
        <f t="shared" si="131"/>
        <v xml:space="preserve"> </v>
      </c>
      <c r="H1035" s="1201"/>
      <c r="I1035">
        <f t="shared" si="128"/>
        <v>0</v>
      </c>
      <c r="K1035">
        <f t="shared" si="129"/>
        <v>0</v>
      </c>
      <c r="L1035" s="1213"/>
      <c r="N1035" s="1214" t="str">
        <f t="shared" si="132"/>
        <v xml:space="preserve"> </v>
      </c>
      <c r="O1035" s="1215" t="str">
        <f t="shared" si="133"/>
        <v xml:space="preserve"> </v>
      </c>
      <c r="Q1035">
        <f t="shared" si="134"/>
        <v>0</v>
      </c>
      <c r="R1035">
        <f t="shared" si="135"/>
        <v>0</v>
      </c>
    </row>
    <row r="1036" spans="2:18" x14ac:dyDescent="0.2">
      <c r="B1036" s="1209"/>
      <c r="C1036" s="1210"/>
      <c r="D1036" s="939"/>
      <c r="E1036" s="1211" t="str">
        <f t="shared" si="130"/>
        <v xml:space="preserve"> </v>
      </c>
      <c r="G1036" s="1212" t="str">
        <f t="shared" si="131"/>
        <v xml:space="preserve"> </v>
      </c>
      <c r="H1036" s="1201"/>
      <c r="I1036">
        <f t="shared" si="128"/>
        <v>0</v>
      </c>
      <c r="K1036">
        <f t="shared" si="129"/>
        <v>0</v>
      </c>
      <c r="L1036" s="1213"/>
      <c r="N1036" s="1214" t="str">
        <f t="shared" si="132"/>
        <v xml:space="preserve"> </v>
      </c>
      <c r="O1036" s="1215" t="str">
        <f t="shared" si="133"/>
        <v xml:space="preserve"> </v>
      </c>
      <c r="Q1036">
        <f t="shared" si="134"/>
        <v>0</v>
      </c>
      <c r="R1036">
        <f t="shared" si="135"/>
        <v>0</v>
      </c>
    </row>
    <row r="1037" spans="2:18" x14ac:dyDescent="0.2">
      <c r="B1037" s="1209"/>
      <c r="C1037" s="1210"/>
      <c r="D1037" s="939"/>
      <c r="E1037" s="1211" t="str">
        <f t="shared" si="130"/>
        <v xml:space="preserve"> </v>
      </c>
      <c r="G1037" s="1212" t="str">
        <f t="shared" si="131"/>
        <v xml:space="preserve"> </v>
      </c>
      <c r="H1037" s="1201"/>
      <c r="I1037">
        <f t="shared" si="128"/>
        <v>0</v>
      </c>
      <c r="K1037">
        <f t="shared" si="129"/>
        <v>0</v>
      </c>
      <c r="L1037" s="1213"/>
      <c r="N1037" s="1214" t="str">
        <f t="shared" si="132"/>
        <v xml:space="preserve"> </v>
      </c>
      <c r="O1037" s="1215" t="str">
        <f t="shared" si="133"/>
        <v xml:space="preserve"> </v>
      </c>
      <c r="Q1037">
        <f t="shared" si="134"/>
        <v>0</v>
      </c>
      <c r="R1037">
        <f t="shared" si="135"/>
        <v>0</v>
      </c>
    </row>
    <row r="1038" spans="2:18" x14ac:dyDescent="0.2">
      <c r="B1038" s="1209"/>
      <c r="C1038" s="1210"/>
      <c r="D1038" s="939"/>
      <c r="E1038" s="1211" t="str">
        <f t="shared" si="130"/>
        <v xml:space="preserve"> </v>
      </c>
      <c r="G1038" s="1212" t="str">
        <f t="shared" si="131"/>
        <v xml:space="preserve"> </v>
      </c>
      <c r="H1038" s="1201"/>
      <c r="I1038">
        <f t="shared" si="128"/>
        <v>0</v>
      </c>
      <c r="K1038">
        <f t="shared" si="129"/>
        <v>0</v>
      </c>
      <c r="L1038" s="1213"/>
      <c r="N1038" s="1214" t="str">
        <f t="shared" si="132"/>
        <v xml:space="preserve"> </v>
      </c>
      <c r="O1038" s="1215" t="str">
        <f t="shared" si="133"/>
        <v xml:space="preserve"> </v>
      </c>
      <c r="Q1038">
        <f t="shared" si="134"/>
        <v>0</v>
      </c>
      <c r="R1038">
        <f t="shared" si="135"/>
        <v>0</v>
      </c>
    </row>
    <row r="1039" spans="2:18" x14ac:dyDescent="0.2">
      <c r="B1039" s="1209"/>
      <c r="C1039" s="1210"/>
      <c r="D1039" s="939"/>
      <c r="E1039" s="1211" t="str">
        <f t="shared" si="130"/>
        <v xml:space="preserve"> </v>
      </c>
      <c r="G1039" s="1212" t="str">
        <f t="shared" si="131"/>
        <v xml:space="preserve"> </v>
      </c>
      <c r="H1039" s="1201"/>
      <c r="I1039">
        <f t="shared" si="128"/>
        <v>0</v>
      </c>
      <c r="K1039">
        <f t="shared" si="129"/>
        <v>0</v>
      </c>
      <c r="L1039" s="1213"/>
      <c r="N1039" s="1214" t="str">
        <f t="shared" si="132"/>
        <v xml:space="preserve"> </v>
      </c>
      <c r="O1039" s="1215" t="str">
        <f t="shared" si="133"/>
        <v xml:space="preserve"> </v>
      </c>
      <c r="Q1039">
        <f t="shared" si="134"/>
        <v>0</v>
      </c>
      <c r="R1039">
        <f t="shared" si="135"/>
        <v>0</v>
      </c>
    </row>
    <row r="1040" spans="2:18" x14ac:dyDescent="0.2">
      <c r="B1040" s="1209"/>
      <c r="C1040" s="1210"/>
      <c r="D1040" s="939"/>
      <c r="E1040" s="1211" t="str">
        <f t="shared" si="130"/>
        <v xml:space="preserve"> </v>
      </c>
      <c r="G1040" s="1212" t="str">
        <f t="shared" si="131"/>
        <v xml:space="preserve"> </v>
      </c>
      <c r="H1040" s="1201"/>
      <c r="I1040">
        <f t="shared" si="128"/>
        <v>0</v>
      </c>
      <c r="K1040">
        <f t="shared" si="129"/>
        <v>0</v>
      </c>
      <c r="L1040" s="1213"/>
      <c r="N1040" s="1214" t="str">
        <f t="shared" si="132"/>
        <v xml:space="preserve"> </v>
      </c>
      <c r="O1040" s="1215" t="str">
        <f t="shared" si="133"/>
        <v xml:space="preserve"> </v>
      </c>
      <c r="Q1040">
        <f t="shared" si="134"/>
        <v>0</v>
      </c>
      <c r="R1040">
        <f t="shared" si="135"/>
        <v>0</v>
      </c>
    </row>
    <row r="1041" spans="2:18" x14ac:dyDescent="0.2">
      <c r="B1041" s="1209"/>
      <c r="C1041" s="1210"/>
      <c r="D1041" s="939"/>
      <c r="E1041" s="1211" t="str">
        <f t="shared" si="130"/>
        <v xml:space="preserve"> </v>
      </c>
      <c r="G1041" s="1212" t="str">
        <f t="shared" si="131"/>
        <v xml:space="preserve"> </v>
      </c>
      <c r="H1041" s="1201"/>
      <c r="I1041">
        <f t="shared" si="128"/>
        <v>0</v>
      </c>
      <c r="K1041">
        <f t="shared" si="129"/>
        <v>0</v>
      </c>
      <c r="L1041" s="1213"/>
      <c r="N1041" s="1214" t="str">
        <f t="shared" si="132"/>
        <v xml:space="preserve"> </v>
      </c>
      <c r="O1041" s="1215" t="str">
        <f t="shared" si="133"/>
        <v xml:space="preserve"> </v>
      </c>
      <c r="Q1041">
        <f t="shared" si="134"/>
        <v>0</v>
      </c>
      <c r="R1041">
        <f t="shared" si="135"/>
        <v>0</v>
      </c>
    </row>
    <row r="1042" spans="2:18" x14ac:dyDescent="0.2">
      <c r="B1042" s="1209"/>
      <c r="C1042" s="1210"/>
      <c r="D1042" s="939"/>
      <c r="E1042" s="1211" t="str">
        <f t="shared" si="130"/>
        <v xml:space="preserve"> </v>
      </c>
      <c r="G1042" s="1212" t="str">
        <f t="shared" si="131"/>
        <v xml:space="preserve"> </v>
      </c>
      <c r="H1042" s="1201"/>
      <c r="I1042">
        <f t="shared" si="128"/>
        <v>0</v>
      </c>
      <c r="K1042">
        <f t="shared" si="129"/>
        <v>0</v>
      </c>
      <c r="L1042" s="1213"/>
      <c r="N1042" s="1214" t="str">
        <f t="shared" si="132"/>
        <v xml:space="preserve"> </v>
      </c>
      <c r="O1042" s="1215" t="str">
        <f t="shared" si="133"/>
        <v xml:space="preserve"> </v>
      </c>
      <c r="Q1042">
        <f t="shared" si="134"/>
        <v>0</v>
      </c>
      <c r="R1042">
        <f t="shared" si="135"/>
        <v>0</v>
      </c>
    </row>
    <row r="1043" spans="2:18" x14ac:dyDescent="0.2">
      <c r="B1043" s="1209"/>
      <c r="C1043" s="1210"/>
      <c r="D1043" s="939"/>
      <c r="E1043" s="1211" t="str">
        <f t="shared" si="130"/>
        <v xml:space="preserve"> </v>
      </c>
      <c r="G1043" s="1212" t="str">
        <f t="shared" si="131"/>
        <v xml:space="preserve"> </v>
      </c>
      <c r="H1043" s="1201"/>
      <c r="I1043">
        <f t="shared" si="128"/>
        <v>0</v>
      </c>
      <c r="K1043">
        <f t="shared" si="129"/>
        <v>0</v>
      </c>
      <c r="L1043" s="1213"/>
      <c r="N1043" s="1214" t="str">
        <f t="shared" si="132"/>
        <v xml:space="preserve"> </v>
      </c>
      <c r="O1043" s="1215" t="str">
        <f t="shared" si="133"/>
        <v xml:space="preserve"> </v>
      </c>
      <c r="Q1043">
        <f t="shared" si="134"/>
        <v>0</v>
      </c>
      <c r="R1043">
        <f t="shared" si="135"/>
        <v>0</v>
      </c>
    </row>
    <row r="1044" spans="2:18" x14ac:dyDescent="0.2">
      <c r="B1044" s="1209"/>
      <c r="C1044" s="1210"/>
      <c r="D1044" s="939"/>
      <c r="E1044" s="1211" t="str">
        <f t="shared" si="130"/>
        <v xml:space="preserve"> </v>
      </c>
      <c r="G1044" s="1212" t="str">
        <f t="shared" si="131"/>
        <v xml:space="preserve"> </v>
      </c>
      <c r="H1044" s="1201"/>
      <c r="I1044">
        <f t="shared" si="128"/>
        <v>0</v>
      </c>
      <c r="K1044">
        <f t="shared" si="129"/>
        <v>0</v>
      </c>
      <c r="L1044" s="1213"/>
      <c r="N1044" s="1214" t="str">
        <f t="shared" si="132"/>
        <v xml:space="preserve"> </v>
      </c>
      <c r="O1044" s="1215" t="str">
        <f t="shared" si="133"/>
        <v xml:space="preserve"> </v>
      </c>
      <c r="Q1044">
        <f t="shared" si="134"/>
        <v>0</v>
      </c>
      <c r="R1044">
        <f t="shared" si="135"/>
        <v>0</v>
      </c>
    </row>
    <row r="1045" spans="2:18" x14ac:dyDescent="0.2">
      <c r="B1045" s="1209"/>
      <c r="C1045" s="1210"/>
      <c r="D1045" s="939"/>
      <c r="E1045" s="1211" t="str">
        <f t="shared" si="130"/>
        <v xml:space="preserve"> </v>
      </c>
      <c r="G1045" s="1212" t="str">
        <f t="shared" si="131"/>
        <v xml:space="preserve"> </v>
      </c>
      <c r="H1045" s="1201"/>
      <c r="I1045">
        <f t="shared" si="128"/>
        <v>0</v>
      </c>
      <c r="K1045">
        <f t="shared" si="129"/>
        <v>0</v>
      </c>
      <c r="L1045" s="1213"/>
      <c r="N1045" s="1214" t="str">
        <f t="shared" si="132"/>
        <v xml:space="preserve"> </v>
      </c>
      <c r="O1045" s="1215" t="str">
        <f t="shared" si="133"/>
        <v xml:space="preserve"> </v>
      </c>
      <c r="Q1045">
        <f t="shared" si="134"/>
        <v>0</v>
      </c>
      <c r="R1045">
        <f t="shared" si="135"/>
        <v>0</v>
      </c>
    </row>
    <row r="1046" spans="2:18" x14ac:dyDescent="0.2">
      <c r="B1046" s="1209"/>
      <c r="C1046" s="1210"/>
      <c r="D1046" s="939"/>
      <c r="E1046" s="1211" t="str">
        <f t="shared" si="130"/>
        <v xml:space="preserve"> </v>
      </c>
      <c r="G1046" s="1212" t="str">
        <f t="shared" si="131"/>
        <v xml:space="preserve"> </v>
      </c>
      <c r="H1046" s="1201"/>
      <c r="I1046">
        <f t="shared" si="128"/>
        <v>0</v>
      </c>
      <c r="K1046">
        <f t="shared" si="129"/>
        <v>0</v>
      </c>
      <c r="L1046" s="1213"/>
      <c r="N1046" s="1214" t="str">
        <f t="shared" si="132"/>
        <v xml:space="preserve"> </v>
      </c>
      <c r="O1046" s="1215" t="str">
        <f t="shared" si="133"/>
        <v xml:space="preserve"> </v>
      </c>
      <c r="Q1046">
        <f t="shared" si="134"/>
        <v>0</v>
      </c>
      <c r="R1046">
        <f t="shared" si="135"/>
        <v>0</v>
      </c>
    </row>
    <row r="1047" spans="2:18" x14ac:dyDescent="0.2">
      <c r="B1047" s="1209"/>
      <c r="C1047" s="1210"/>
      <c r="D1047" s="939"/>
      <c r="E1047" s="1211" t="str">
        <f t="shared" si="130"/>
        <v xml:space="preserve"> </v>
      </c>
      <c r="G1047" s="1212" t="str">
        <f t="shared" si="131"/>
        <v xml:space="preserve"> </v>
      </c>
      <c r="H1047" s="1201"/>
      <c r="I1047">
        <f t="shared" si="128"/>
        <v>0</v>
      </c>
      <c r="K1047">
        <f t="shared" si="129"/>
        <v>0</v>
      </c>
      <c r="L1047" s="1213"/>
      <c r="N1047" s="1214" t="str">
        <f t="shared" si="132"/>
        <v xml:space="preserve"> </v>
      </c>
      <c r="O1047" s="1215" t="str">
        <f t="shared" si="133"/>
        <v xml:space="preserve"> </v>
      </c>
      <c r="Q1047">
        <f t="shared" si="134"/>
        <v>0</v>
      </c>
      <c r="R1047">
        <f t="shared" si="135"/>
        <v>0</v>
      </c>
    </row>
    <row r="1048" spans="2:18" x14ac:dyDescent="0.2">
      <c r="B1048" s="1209"/>
      <c r="C1048" s="1210"/>
      <c r="D1048" s="939"/>
      <c r="E1048" s="1211" t="str">
        <f t="shared" si="130"/>
        <v xml:space="preserve"> </v>
      </c>
      <c r="G1048" s="1212" t="str">
        <f t="shared" si="131"/>
        <v xml:space="preserve"> </v>
      </c>
      <c r="H1048" s="1201"/>
      <c r="I1048">
        <f t="shared" si="128"/>
        <v>0</v>
      </c>
      <c r="K1048">
        <f t="shared" si="129"/>
        <v>0</v>
      </c>
      <c r="L1048" s="1213"/>
      <c r="N1048" s="1214" t="str">
        <f t="shared" si="132"/>
        <v xml:space="preserve"> </v>
      </c>
      <c r="O1048" s="1215" t="str">
        <f t="shared" si="133"/>
        <v xml:space="preserve"> </v>
      </c>
      <c r="Q1048">
        <f t="shared" si="134"/>
        <v>0</v>
      </c>
      <c r="R1048">
        <f t="shared" si="135"/>
        <v>0</v>
      </c>
    </row>
    <row r="1049" spans="2:18" x14ac:dyDescent="0.2">
      <c r="B1049" s="1209"/>
      <c r="C1049" s="1210"/>
      <c r="D1049" s="939"/>
      <c r="E1049" s="1211" t="str">
        <f t="shared" si="130"/>
        <v xml:space="preserve"> </v>
      </c>
      <c r="G1049" s="1212" t="str">
        <f t="shared" si="131"/>
        <v xml:space="preserve"> </v>
      </c>
      <c r="H1049" s="1201"/>
      <c r="I1049">
        <f t="shared" si="128"/>
        <v>0</v>
      </c>
      <c r="K1049">
        <f t="shared" si="129"/>
        <v>0</v>
      </c>
      <c r="L1049" s="1213"/>
      <c r="N1049" s="1214" t="str">
        <f t="shared" si="132"/>
        <v xml:space="preserve"> </v>
      </c>
      <c r="O1049" s="1215" t="str">
        <f t="shared" si="133"/>
        <v xml:space="preserve"> </v>
      </c>
      <c r="Q1049">
        <f t="shared" si="134"/>
        <v>0</v>
      </c>
      <c r="R1049">
        <f t="shared" si="135"/>
        <v>0</v>
      </c>
    </row>
    <row r="1050" spans="2:18" x14ac:dyDescent="0.2">
      <c r="B1050" s="1209"/>
      <c r="C1050" s="1210"/>
      <c r="D1050" s="939"/>
      <c r="E1050" s="1211" t="str">
        <f t="shared" si="130"/>
        <v xml:space="preserve"> </v>
      </c>
      <c r="G1050" s="1212" t="str">
        <f t="shared" si="131"/>
        <v xml:space="preserve"> </v>
      </c>
      <c r="H1050" s="1201"/>
      <c r="I1050">
        <f t="shared" si="128"/>
        <v>0</v>
      </c>
      <c r="K1050">
        <f t="shared" si="129"/>
        <v>0</v>
      </c>
      <c r="L1050" s="1213"/>
      <c r="N1050" s="1214" t="str">
        <f t="shared" si="132"/>
        <v xml:space="preserve"> </v>
      </c>
      <c r="O1050" s="1215" t="str">
        <f t="shared" si="133"/>
        <v xml:space="preserve"> </v>
      </c>
      <c r="Q1050">
        <f t="shared" si="134"/>
        <v>0</v>
      </c>
      <c r="R1050">
        <f t="shared" si="135"/>
        <v>0</v>
      </c>
    </row>
    <row r="1051" spans="2:18" x14ac:dyDescent="0.2">
      <c r="B1051" s="1209"/>
      <c r="C1051" s="1210"/>
      <c r="D1051" s="939"/>
      <c r="E1051" s="1211" t="str">
        <f t="shared" si="130"/>
        <v xml:space="preserve"> </v>
      </c>
      <c r="G1051" s="1212" t="str">
        <f t="shared" si="131"/>
        <v xml:space="preserve"> </v>
      </c>
      <c r="H1051" s="1201"/>
      <c r="I1051">
        <f t="shared" si="128"/>
        <v>0</v>
      </c>
      <c r="K1051">
        <f t="shared" si="129"/>
        <v>0</v>
      </c>
      <c r="L1051" s="1213"/>
      <c r="N1051" s="1214" t="str">
        <f t="shared" si="132"/>
        <v xml:space="preserve"> </v>
      </c>
      <c r="O1051" s="1215" t="str">
        <f t="shared" si="133"/>
        <v xml:space="preserve"> </v>
      </c>
      <c r="Q1051">
        <f t="shared" si="134"/>
        <v>0</v>
      </c>
      <c r="R1051">
        <f t="shared" si="135"/>
        <v>0</v>
      </c>
    </row>
    <row r="1052" spans="2:18" x14ac:dyDescent="0.2">
      <c r="B1052" s="1209"/>
      <c r="C1052" s="1210"/>
      <c r="D1052" s="939"/>
      <c r="E1052" s="1211" t="str">
        <f t="shared" si="130"/>
        <v xml:space="preserve"> </v>
      </c>
      <c r="G1052" s="1212" t="str">
        <f t="shared" si="131"/>
        <v xml:space="preserve"> </v>
      </c>
      <c r="H1052" s="1201"/>
      <c r="I1052">
        <f t="shared" si="128"/>
        <v>0</v>
      </c>
      <c r="K1052">
        <f t="shared" si="129"/>
        <v>0</v>
      </c>
      <c r="L1052" s="1213"/>
      <c r="N1052" s="1214" t="str">
        <f t="shared" si="132"/>
        <v xml:space="preserve"> </v>
      </c>
      <c r="O1052" s="1215" t="str">
        <f t="shared" si="133"/>
        <v xml:space="preserve"> </v>
      </c>
      <c r="Q1052">
        <f t="shared" si="134"/>
        <v>0</v>
      </c>
      <c r="R1052">
        <f t="shared" si="135"/>
        <v>0</v>
      </c>
    </row>
    <row r="1053" spans="2:18" x14ac:dyDescent="0.2">
      <c r="B1053" s="1209"/>
      <c r="C1053" s="1210"/>
      <c r="D1053" s="939"/>
      <c r="E1053" s="1211" t="str">
        <f t="shared" si="130"/>
        <v xml:space="preserve"> </v>
      </c>
      <c r="G1053" s="1212" t="str">
        <f t="shared" si="131"/>
        <v xml:space="preserve"> </v>
      </c>
      <c r="H1053" s="1201"/>
      <c r="I1053">
        <f t="shared" si="128"/>
        <v>0</v>
      </c>
      <c r="K1053">
        <f t="shared" si="129"/>
        <v>0</v>
      </c>
      <c r="L1053" s="1213"/>
      <c r="N1053" s="1214" t="str">
        <f t="shared" si="132"/>
        <v xml:space="preserve"> </v>
      </c>
      <c r="O1053" s="1215" t="str">
        <f t="shared" si="133"/>
        <v xml:space="preserve"> </v>
      </c>
      <c r="Q1053">
        <f t="shared" si="134"/>
        <v>0</v>
      </c>
      <c r="R1053">
        <f t="shared" si="135"/>
        <v>0</v>
      </c>
    </row>
    <row r="1054" spans="2:18" x14ac:dyDescent="0.2">
      <c r="B1054" s="1209"/>
      <c r="C1054" s="1210"/>
      <c r="D1054" s="939"/>
      <c r="E1054" s="1211" t="str">
        <f t="shared" si="130"/>
        <v xml:space="preserve"> </v>
      </c>
      <c r="G1054" s="1212" t="str">
        <f t="shared" si="131"/>
        <v xml:space="preserve"> </v>
      </c>
      <c r="H1054" s="1201"/>
      <c r="I1054">
        <f t="shared" si="128"/>
        <v>0</v>
      </c>
      <c r="K1054">
        <f t="shared" si="129"/>
        <v>0</v>
      </c>
      <c r="L1054" s="1213"/>
      <c r="N1054" s="1214" t="str">
        <f t="shared" si="132"/>
        <v xml:space="preserve"> </v>
      </c>
      <c r="O1054" s="1215" t="str">
        <f t="shared" si="133"/>
        <v xml:space="preserve"> </v>
      </c>
      <c r="Q1054">
        <f t="shared" si="134"/>
        <v>0</v>
      </c>
      <c r="R1054">
        <f t="shared" si="135"/>
        <v>0</v>
      </c>
    </row>
    <row r="1055" spans="2:18" x14ac:dyDescent="0.2">
      <c r="B1055" s="1209"/>
      <c r="C1055" s="1210"/>
      <c r="D1055" s="939"/>
      <c r="E1055" s="1211" t="str">
        <f t="shared" si="130"/>
        <v xml:space="preserve"> </v>
      </c>
      <c r="G1055" s="1212" t="str">
        <f t="shared" si="131"/>
        <v xml:space="preserve"> </v>
      </c>
      <c r="H1055" s="1201"/>
      <c r="I1055">
        <f t="shared" si="128"/>
        <v>0</v>
      </c>
      <c r="K1055">
        <f t="shared" si="129"/>
        <v>0</v>
      </c>
      <c r="L1055" s="1213"/>
      <c r="N1055" s="1214" t="str">
        <f t="shared" si="132"/>
        <v xml:space="preserve"> </v>
      </c>
      <c r="O1055" s="1215" t="str">
        <f t="shared" si="133"/>
        <v xml:space="preserve"> </v>
      </c>
      <c r="Q1055">
        <f t="shared" si="134"/>
        <v>0</v>
      </c>
      <c r="R1055">
        <f t="shared" si="135"/>
        <v>0</v>
      </c>
    </row>
    <row r="1056" spans="2:18" x14ac:dyDescent="0.2">
      <c r="B1056" s="1209"/>
      <c r="C1056" s="1210"/>
      <c r="D1056" s="939"/>
      <c r="E1056" s="1211" t="str">
        <f t="shared" si="130"/>
        <v xml:space="preserve"> </v>
      </c>
      <c r="G1056" s="1212" t="str">
        <f t="shared" si="131"/>
        <v xml:space="preserve"> </v>
      </c>
      <c r="H1056" s="1201"/>
      <c r="I1056">
        <f t="shared" si="128"/>
        <v>0</v>
      </c>
      <c r="K1056">
        <f t="shared" si="129"/>
        <v>0</v>
      </c>
      <c r="L1056" s="1213"/>
      <c r="N1056" s="1214" t="str">
        <f t="shared" si="132"/>
        <v xml:space="preserve"> </v>
      </c>
      <c r="O1056" s="1215" t="str">
        <f t="shared" si="133"/>
        <v xml:space="preserve"> </v>
      </c>
      <c r="Q1056">
        <f t="shared" si="134"/>
        <v>0</v>
      </c>
      <c r="R1056">
        <f t="shared" si="135"/>
        <v>0</v>
      </c>
    </row>
    <row r="1057" spans="2:18" x14ac:dyDescent="0.2">
      <c r="B1057" s="1209"/>
      <c r="C1057" s="1210"/>
      <c r="D1057" s="939"/>
      <c r="E1057" s="1211" t="str">
        <f t="shared" si="130"/>
        <v xml:space="preserve"> </v>
      </c>
      <c r="G1057" s="1212" t="str">
        <f t="shared" si="131"/>
        <v xml:space="preserve"> </v>
      </c>
      <c r="H1057" s="1201"/>
      <c r="I1057">
        <f t="shared" si="128"/>
        <v>0</v>
      </c>
      <c r="K1057">
        <f t="shared" si="129"/>
        <v>0</v>
      </c>
      <c r="L1057" s="1213"/>
      <c r="N1057" s="1214" t="str">
        <f t="shared" si="132"/>
        <v xml:space="preserve"> </v>
      </c>
      <c r="O1057" s="1215" t="str">
        <f t="shared" si="133"/>
        <v xml:space="preserve"> </v>
      </c>
      <c r="Q1057">
        <f t="shared" si="134"/>
        <v>0</v>
      </c>
      <c r="R1057">
        <f t="shared" si="135"/>
        <v>0</v>
      </c>
    </row>
    <row r="1058" spans="2:18" x14ac:dyDescent="0.2">
      <c r="B1058" s="1209"/>
      <c r="C1058" s="1210"/>
      <c r="D1058" s="939"/>
      <c r="E1058" s="1211" t="str">
        <f t="shared" si="130"/>
        <v xml:space="preserve"> </v>
      </c>
      <c r="G1058" s="1212" t="str">
        <f t="shared" si="131"/>
        <v xml:space="preserve"> </v>
      </c>
      <c r="H1058" s="1201"/>
      <c r="I1058">
        <f t="shared" si="128"/>
        <v>0</v>
      </c>
      <c r="K1058">
        <f t="shared" si="129"/>
        <v>0</v>
      </c>
      <c r="L1058" s="1213"/>
      <c r="N1058" s="1214" t="str">
        <f t="shared" si="132"/>
        <v xml:space="preserve"> </v>
      </c>
      <c r="O1058" s="1215" t="str">
        <f t="shared" si="133"/>
        <v xml:space="preserve"> </v>
      </c>
      <c r="Q1058">
        <f t="shared" si="134"/>
        <v>0</v>
      </c>
      <c r="R1058">
        <f t="shared" si="135"/>
        <v>0</v>
      </c>
    </row>
    <row r="1059" spans="2:18" x14ac:dyDescent="0.2">
      <c r="B1059" s="1209"/>
      <c r="C1059" s="1210"/>
      <c r="D1059" s="939"/>
      <c r="E1059" s="1211" t="str">
        <f t="shared" si="130"/>
        <v xml:space="preserve"> </v>
      </c>
      <c r="G1059" s="1212" t="str">
        <f t="shared" si="131"/>
        <v xml:space="preserve"> </v>
      </c>
      <c r="H1059" s="1201"/>
      <c r="I1059">
        <f t="shared" si="128"/>
        <v>0</v>
      </c>
      <c r="K1059">
        <f t="shared" si="129"/>
        <v>0</v>
      </c>
      <c r="L1059" s="1213"/>
      <c r="N1059" s="1214" t="str">
        <f t="shared" si="132"/>
        <v xml:space="preserve"> </v>
      </c>
      <c r="O1059" s="1215" t="str">
        <f t="shared" si="133"/>
        <v xml:space="preserve"> </v>
      </c>
      <c r="Q1059">
        <f t="shared" si="134"/>
        <v>0</v>
      </c>
      <c r="R1059">
        <f t="shared" si="135"/>
        <v>0</v>
      </c>
    </row>
    <row r="1060" spans="2:18" x14ac:dyDescent="0.2">
      <c r="B1060" s="1209"/>
      <c r="C1060" s="1210"/>
      <c r="D1060" s="939"/>
      <c r="E1060" s="1211" t="str">
        <f t="shared" si="130"/>
        <v xml:space="preserve"> </v>
      </c>
      <c r="G1060" s="1212" t="str">
        <f t="shared" si="131"/>
        <v xml:space="preserve"> </v>
      </c>
      <c r="H1060" s="1201"/>
      <c r="I1060">
        <f t="shared" si="128"/>
        <v>0</v>
      </c>
      <c r="K1060">
        <f t="shared" si="129"/>
        <v>0</v>
      </c>
      <c r="L1060" s="1213"/>
      <c r="N1060" s="1214" t="str">
        <f t="shared" si="132"/>
        <v xml:space="preserve"> </v>
      </c>
      <c r="O1060" s="1215" t="str">
        <f t="shared" si="133"/>
        <v xml:space="preserve"> </v>
      </c>
      <c r="Q1060">
        <f t="shared" si="134"/>
        <v>0</v>
      </c>
      <c r="R1060">
        <f t="shared" si="135"/>
        <v>0</v>
      </c>
    </row>
    <row r="1061" spans="2:18" x14ac:dyDescent="0.2">
      <c r="B1061" s="1209"/>
      <c r="C1061" s="1210"/>
      <c r="D1061" s="939"/>
      <c r="E1061" s="1211" t="str">
        <f t="shared" si="130"/>
        <v xml:space="preserve"> </v>
      </c>
      <c r="G1061" s="1212" t="str">
        <f t="shared" si="131"/>
        <v xml:space="preserve"> </v>
      </c>
      <c r="H1061" s="1201"/>
      <c r="I1061">
        <f t="shared" si="128"/>
        <v>0</v>
      </c>
      <c r="K1061">
        <f t="shared" si="129"/>
        <v>0</v>
      </c>
      <c r="L1061" s="1213"/>
      <c r="N1061" s="1214" t="str">
        <f t="shared" si="132"/>
        <v xml:space="preserve"> </v>
      </c>
      <c r="O1061" s="1215" t="str">
        <f t="shared" si="133"/>
        <v xml:space="preserve"> </v>
      </c>
      <c r="Q1061">
        <f t="shared" si="134"/>
        <v>0</v>
      </c>
      <c r="R1061">
        <f t="shared" si="135"/>
        <v>0</v>
      </c>
    </row>
    <row r="1062" spans="2:18" x14ac:dyDescent="0.2">
      <c r="B1062" s="1209"/>
      <c r="C1062" s="1210"/>
      <c r="D1062" s="939"/>
      <c r="E1062" s="1211" t="str">
        <f t="shared" si="130"/>
        <v xml:space="preserve"> </v>
      </c>
      <c r="G1062" s="1212" t="str">
        <f t="shared" si="131"/>
        <v xml:space="preserve"> </v>
      </c>
      <c r="H1062" s="1201"/>
      <c r="I1062">
        <f t="shared" si="128"/>
        <v>0</v>
      </c>
      <c r="K1062">
        <f t="shared" si="129"/>
        <v>0</v>
      </c>
      <c r="L1062" s="1213"/>
      <c r="N1062" s="1214" t="str">
        <f t="shared" si="132"/>
        <v xml:space="preserve"> </v>
      </c>
      <c r="O1062" s="1215" t="str">
        <f t="shared" si="133"/>
        <v xml:space="preserve"> </v>
      </c>
      <c r="Q1062">
        <f t="shared" si="134"/>
        <v>0</v>
      </c>
      <c r="R1062">
        <f t="shared" si="135"/>
        <v>0</v>
      </c>
    </row>
    <row r="1063" spans="2:18" x14ac:dyDescent="0.2">
      <c r="B1063" s="1209"/>
      <c r="C1063" s="1210"/>
      <c r="D1063" s="939"/>
      <c r="E1063" s="1211" t="str">
        <f t="shared" si="130"/>
        <v xml:space="preserve"> </v>
      </c>
      <c r="G1063" s="1212" t="str">
        <f t="shared" si="131"/>
        <v xml:space="preserve"> </v>
      </c>
      <c r="H1063" s="1201"/>
      <c r="I1063">
        <f t="shared" si="128"/>
        <v>0</v>
      </c>
      <c r="K1063">
        <f t="shared" si="129"/>
        <v>0</v>
      </c>
      <c r="L1063" s="1213"/>
      <c r="N1063" s="1214" t="str">
        <f t="shared" si="132"/>
        <v xml:space="preserve"> </v>
      </c>
      <c r="O1063" s="1215" t="str">
        <f t="shared" si="133"/>
        <v xml:space="preserve"> </v>
      </c>
      <c r="Q1063">
        <f t="shared" si="134"/>
        <v>0</v>
      </c>
      <c r="R1063">
        <f t="shared" si="135"/>
        <v>0</v>
      </c>
    </row>
    <row r="1064" spans="2:18" x14ac:dyDescent="0.2">
      <c r="B1064" s="1209"/>
      <c r="C1064" s="1210"/>
      <c r="D1064" s="939"/>
      <c r="E1064" s="1211" t="str">
        <f t="shared" si="130"/>
        <v xml:space="preserve"> </v>
      </c>
      <c r="G1064" s="1212" t="str">
        <f t="shared" si="131"/>
        <v xml:space="preserve"> </v>
      </c>
      <c r="H1064" s="1201"/>
      <c r="I1064">
        <f t="shared" si="128"/>
        <v>0</v>
      </c>
      <c r="K1064">
        <f t="shared" si="129"/>
        <v>0</v>
      </c>
      <c r="L1064" s="1213"/>
      <c r="N1064" s="1214" t="str">
        <f t="shared" si="132"/>
        <v xml:space="preserve"> </v>
      </c>
      <c r="O1064" s="1215" t="str">
        <f t="shared" si="133"/>
        <v xml:space="preserve"> </v>
      </c>
      <c r="Q1064">
        <f t="shared" si="134"/>
        <v>0</v>
      </c>
      <c r="R1064">
        <f t="shared" si="135"/>
        <v>0</v>
      </c>
    </row>
    <row r="1065" spans="2:18" x14ac:dyDescent="0.2">
      <c r="B1065" s="1209"/>
      <c r="C1065" s="1210"/>
      <c r="D1065" s="939"/>
      <c r="E1065" s="1211" t="str">
        <f t="shared" si="130"/>
        <v xml:space="preserve"> </v>
      </c>
      <c r="G1065" s="1212" t="str">
        <f t="shared" si="131"/>
        <v xml:space="preserve"> </v>
      </c>
      <c r="H1065" s="1201"/>
      <c r="I1065">
        <f t="shared" si="128"/>
        <v>0</v>
      </c>
      <c r="K1065">
        <f t="shared" si="129"/>
        <v>0</v>
      </c>
      <c r="L1065" s="1213"/>
      <c r="N1065" s="1214" t="str">
        <f t="shared" si="132"/>
        <v xml:space="preserve"> </v>
      </c>
      <c r="O1065" s="1215" t="str">
        <f t="shared" si="133"/>
        <v xml:space="preserve"> </v>
      </c>
      <c r="Q1065">
        <f t="shared" si="134"/>
        <v>0</v>
      </c>
      <c r="R1065">
        <f t="shared" si="135"/>
        <v>0</v>
      </c>
    </row>
    <row r="1066" spans="2:18" x14ac:dyDescent="0.2">
      <c r="B1066" s="1209"/>
      <c r="C1066" s="1210"/>
      <c r="D1066" s="939"/>
      <c r="E1066" s="1211" t="str">
        <f t="shared" si="130"/>
        <v xml:space="preserve"> </v>
      </c>
      <c r="G1066" s="1212" t="str">
        <f t="shared" si="131"/>
        <v xml:space="preserve"> </v>
      </c>
      <c r="H1066" s="1201"/>
      <c r="I1066">
        <f t="shared" si="128"/>
        <v>0</v>
      </c>
      <c r="K1066">
        <f t="shared" si="129"/>
        <v>0</v>
      </c>
      <c r="L1066" s="1213"/>
      <c r="N1066" s="1214" t="str">
        <f t="shared" si="132"/>
        <v xml:space="preserve"> </v>
      </c>
      <c r="O1066" s="1215" t="str">
        <f t="shared" si="133"/>
        <v xml:space="preserve"> </v>
      </c>
      <c r="Q1066">
        <f t="shared" si="134"/>
        <v>0</v>
      </c>
      <c r="R1066">
        <f t="shared" si="135"/>
        <v>0</v>
      </c>
    </row>
    <row r="1067" spans="2:18" x14ac:dyDescent="0.2">
      <c r="B1067" s="1209"/>
      <c r="C1067" s="1210"/>
      <c r="D1067" s="939"/>
      <c r="E1067" s="1211" t="str">
        <f t="shared" si="130"/>
        <v xml:space="preserve"> </v>
      </c>
      <c r="G1067" s="1212" t="str">
        <f t="shared" si="131"/>
        <v xml:space="preserve"> </v>
      </c>
      <c r="H1067" s="1201"/>
      <c r="I1067">
        <f t="shared" si="128"/>
        <v>0</v>
      </c>
      <c r="K1067">
        <f t="shared" si="129"/>
        <v>0</v>
      </c>
      <c r="L1067" s="1213"/>
      <c r="N1067" s="1214" t="str">
        <f t="shared" si="132"/>
        <v xml:space="preserve"> </v>
      </c>
      <c r="O1067" s="1215" t="str">
        <f t="shared" si="133"/>
        <v xml:space="preserve"> </v>
      </c>
      <c r="Q1067">
        <f t="shared" si="134"/>
        <v>0</v>
      </c>
      <c r="R1067">
        <f t="shared" si="135"/>
        <v>0</v>
      </c>
    </row>
    <row r="1068" spans="2:18" x14ac:dyDescent="0.2">
      <c r="B1068" s="1209"/>
      <c r="C1068" s="1210"/>
      <c r="D1068" s="939"/>
      <c r="E1068" s="1211" t="str">
        <f t="shared" si="130"/>
        <v xml:space="preserve"> </v>
      </c>
      <c r="G1068" s="1212" t="str">
        <f t="shared" si="131"/>
        <v xml:space="preserve"> </v>
      </c>
      <c r="H1068" s="1201"/>
      <c r="I1068">
        <f t="shared" si="128"/>
        <v>0</v>
      </c>
      <c r="K1068">
        <f t="shared" si="129"/>
        <v>0</v>
      </c>
      <c r="L1068" s="1213"/>
      <c r="N1068" s="1214" t="str">
        <f t="shared" si="132"/>
        <v xml:space="preserve"> </v>
      </c>
      <c r="O1068" s="1215" t="str">
        <f t="shared" si="133"/>
        <v xml:space="preserve"> </v>
      </c>
      <c r="Q1068">
        <f t="shared" si="134"/>
        <v>0</v>
      </c>
      <c r="R1068">
        <f t="shared" si="135"/>
        <v>0</v>
      </c>
    </row>
    <row r="1069" spans="2:18" x14ac:dyDescent="0.2">
      <c r="B1069" s="1209"/>
      <c r="C1069" s="1210"/>
      <c r="D1069" s="939"/>
      <c r="E1069" s="1211" t="str">
        <f t="shared" si="130"/>
        <v xml:space="preserve"> </v>
      </c>
      <c r="G1069" s="1212" t="str">
        <f t="shared" si="131"/>
        <v xml:space="preserve"> </v>
      </c>
      <c r="H1069" s="1201"/>
      <c r="I1069">
        <f t="shared" si="128"/>
        <v>0</v>
      </c>
      <c r="K1069">
        <f t="shared" si="129"/>
        <v>0</v>
      </c>
      <c r="L1069" s="1213"/>
      <c r="N1069" s="1214" t="str">
        <f t="shared" si="132"/>
        <v xml:space="preserve"> </v>
      </c>
      <c r="O1069" s="1215" t="str">
        <f t="shared" si="133"/>
        <v xml:space="preserve"> </v>
      </c>
      <c r="Q1069">
        <f t="shared" si="134"/>
        <v>0</v>
      </c>
      <c r="R1069">
        <f t="shared" si="135"/>
        <v>0</v>
      </c>
    </row>
    <row r="1070" spans="2:18" x14ac:dyDescent="0.2">
      <c r="B1070" s="1209"/>
      <c r="C1070" s="1210"/>
      <c r="D1070" s="939"/>
      <c r="E1070" s="1211" t="str">
        <f t="shared" si="130"/>
        <v xml:space="preserve"> </v>
      </c>
      <c r="G1070" s="1212" t="str">
        <f t="shared" si="131"/>
        <v xml:space="preserve"> </v>
      </c>
      <c r="H1070" s="1201"/>
      <c r="I1070">
        <f t="shared" si="128"/>
        <v>0</v>
      </c>
      <c r="K1070">
        <f t="shared" si="129"/>
        <v>0</v>
      </c>
      <c r="L1070" s="1213"/>
      <c r="N1070" s="1214" t="str">
        <f t="shared" si="132"/>
        <v xml:space="preserve"> </v>
      </c>
      <c r="O1070" s="1215" t="str">
        <f t="shared" si="133"/>
        <v xml:space="preserve"> </v>
      </c>
      <c r="Q1070">
        <f t="shared" si="134"/>
        <v>0</v>
      </c>
      <c r="R1070">
        <f t="shared" si="135"/>
        <v>0</v>
      </c>
    </row>
    <row r="1071" spans="2:18" x14ac:dyDescent="0.2">
      <c r="B1071" s="1209"/>
      <c r="C1071" s="1210"/>
      <c r="D1071" s="939"/>
      <c r="E1071" s="1211" t="str">
        <f t="shared" si="130"/>
        <v xml:space="preserve"> </v>
      </c>
      <c r="G1071" s="1212" t="str">
        <f t="shared" si="131"/>
        <v xml:space="preserve"> </v>
      </c>
      <c r="H1071" s="1201"/>
      <c r="I1071">
        <f t="shared" si="128"/>
        <v>0</v>
      </c>
      <c r="K1071">
        <f t="shared" si="129"/>
        <v>0</v>
      </c>
      <c r="L1071" s="1213"/>
      <c r="N1071" s="1214" t="str">
        <f t="shared" si="132"/>
        <v xml:space="preserve"> </v>
      </c>
      <c r="O1071" s="1215" t="str">
        <f t="shared" si="133"/>
        <v xml:space="preserve"> </v>
      </c>
      <c r="Q1071">
        <f t="shared" si="134"/>
        <v>0</v>
      </c>
      <c r="R1071">
        <f t="shared" si="135"/>
        <v>0</v>
      </c>
    </row>
    <row r="1072" spans="2:18" x14ac:dyDescent="0.2">
      <c r="B1072" s="1209"/>
      <c r="C1072" s="1210"/>
      <c r="D1072" s="939"/>
      <c r="E1072" s="1211" t="str">
        <f t="shared" si="130"/>
        <v xml:space="preserve"> </v>
      </c>
      <c r="G1072" s="1212" t="str">
        <f t="shared" si="131"/>
        <v xml:space="preserve"> </v>
      </c>
      <c r="H1072" s="1201"/>
      <c r="I1072">
        <f t="shared" si="128"/>
        <v>0</v>
      </c>
      <c r="K1072">
        <f t="shared" si="129"/>
        <v>0</v>
      </c>
      <c r="L1072" s="1213"/>
      <c r="N1072" s="1214" t="str">
        <f t="shared" si="132"/>
        <v xml:space="preserve"> </v>
      </c>
      <c r="O1072" s="1215" t="str">
        <f t="shared" si="133"/>
        <v xml:space="preserve"> </v>
      </c>
      <c r="Q1072">
        <f t="shared" si="134"/>
        <v>0</v>
      </c>
      <c r="R1072">
        <f t="shared" si="135"/>
        <v>0</v>
      </c>
    </row>
    <row r="1073" spans="2:18" x14ac:dyDescent="0.2">
      <c r="B1073" s="1209"/>
      <c r="C1073" s="1210"/>
      <c r="D1073" s="939"/>
      <c r="E1073" s="1211" t="str">
        <f t="shared" si="130"/>
        <v xml:space="preserve"> </v>
      </c>
      <c r="G1073" s="1212" t="str">
        <f t="shared" si="131"/>
        <v xml:space="preserve"> </v>
      </c>
      <c r="H1073" s="1201"/>
      <c r="I1073">
        <f t="shared" si="128"/>
        <v>0</v>
      </c>
      <c r="K1073">
        <f t="shared" si="129"/>
        <v>0</v>
      </c>
      <c r="L1073" s="1213"/>
      <c r="N1073" s="1214" t="str">
        <f t="shared" si="132"/>
        <v xml:space="preserve"> </v>
      </c>
      <c r="O1073" s="1215" t="str">
        <f t="shared" si="133"/>
        <v xml:space="preserve"> </v>
      </c>
      <c r="Q1073">
        <f t="shared" si="134"/>
        <v>0</v>
      </c>
      <c r="R1073">
        <f t="shared" si="135"/>
        <v>0</v>
      </c>
    </row>
    <row r="1074" spans="2:18" x14ac:dyDescent="0.2">
      <c r="B1074" s="1209"/>
      <c r="C1074" s="1210"/>
      <c r="D1074" s="939"/>
      <c r="E1074" s="1211" t="str">
        <f t="shared" si="130"/>
        <v xml:space="preserve"> </v>
      </c>
      <c r="G1074" s="1212" t="str">
        <f t="shared" si="131"/>
        <v xml:space="preserve"> </v>
      </c>
      <c r="H1074" s="1201"/>
      <c r="I1074">
        <f t="shared" si="128"/>
        <v>0</v>
      </c>
      <c r="K1074">
        <f t="shared" si="129"/>
        <v>0</v>
      </c>
      <c r="L1074" s="1213"/>
      <c r="N1074" s="1214" t="str">
        <f t="shared" si="132"/>
        <v xml:space="preserve"> </v>
      </c>
      <c r="O1074" s="1215" t="str">
        <f t="shared" si="133"/>
        <v xml:space="preserve"> </v>
      </c>
      <c r="Q1074">
        <f t="shared" si="134"/>
        <v>0</v>
      </c>
      <c r="R1074">
        <f t="shared" si="135"/>
        <v>0</v>
      </c>
    </row>
    <row r="1075" spans="2:18" x14ac:dyDescent="0.2">
      <c r="B1075" s="1209"/>
      <c r="C1075" s="1210"/>
      <c r="D1075" s="939"/>
      <c r="E1075" s="1211" t="str">
        <f t="shared" si="130"/>
        <v xml:space="preserve"> </v>
      </c>
      <c r="G1075" s="1212" t="str">
        <f t="shared" si="131"/>
        <v xml:space="preserve"> </v>
      </c>
      <c r="H1075" s="1201"/>
      <c r="I1075">
        <f t="shared" si="128"/>
        <v>0</v>
      </c>
      <c r="K1075">
        <f t="shared" si="129"/>
        <v>0</v>
      </c>
      <c r="L1075" s="1213"/>
      <c r="N1075" s="1214" t="str">
        <f t="shared" si="132"/>
        <v xml:space="preserve"> </v>
      </c>
      <c r="O1075" s="1215" t="str">
        <f t="shared" si="133"/>
        <v xml:space="preserve"> </v>
      </c>
      <c r="Q1075">
        <f t="shared" si="134"/>
        <v>0</v>
      </c>
      <c r="R1075">
        <f t="shared" si="135"/>
        <v>0</v>
      </c>
    </row>
    <row r="1076" spans="2:18" x14ac:dyDescent="0.2">
      <c r="B1076" s="1209"/>
      <c r="C1076" s="1210"/>
      <c r="D1076" s="939"/>
      <c r="E1076" s="1211" t="str">
        <f t="shared" si="130"/>
        <v xml:space="preserve"> </v>
      </c>
      <c r="G1076" s="1212" t="str">
        <f t="shared" si="131"/>
        <v xml:space="preserve"> </v>
      </c>
      <c r="H1076" s="1201"/>
      <c r="I1076">
        <f t="shared" si="128"/>
        <v>0</v>
      </c>
      <c r="K1076">
        <f t="shared" si="129"/>
        <v>0</v>
      </c>
      <c r="L1076" s="1213"/>
      <c r="N1076" s="1214" t="str">
        <f t="shared" si="132"/>
        <v xml:space="preserve"> </v>
      </c>
      <c r="O1076" s="1215" t="str">
        <f t="shared" si="133"/>
        <v xml:space="preserve"> </v>
      </c>
      <c r="Q1076">
        <f t="shared" si="134"/>
        <v>0</v>
      </c>
      <c r="R1076">
        <f t="shared" si="135"/>
        <v>0</v>
      </c>
    </row>
    <row r="1077" spans="2:18" x14ac:dyDescent="0.2">
      <c r="B1077" s="1209"/>
      <c r="C1077" s="1210"/>
      <c r="D1077" s="939"/>
      <c r="E1077" s="1211" t="str">
        <f t="shared" si="130"/>
        <v xml:space="preserve"> </v>
      </c>
      <c r="G1077" s="1212" t="str">
        <f t="shared" si="131"/>
        <v xml:space="preserve"> </v>
      </c>
      <c r="H1077" s="1201"/>
      <c r="I1077">
        <f t="shared" si="128"/>
        <v>0</v>
      </c>
      <c r="K1077">
        <f t="shared" si="129"/>
        <v>0</v>
      </c>
      <c r="L1077" s="1213"/>
      <c r="N1077" s="1214" t="str">
        <f t="shared" si="132"/>
        <v xml:space="preserve"> </v>
      </c>
      <c r="O1077" s="1215" t="str">
        <f t="shared" si="133"/>
        <v xml:space="preserve"> </v>
      </c>
      <c r="Q1077">
        <f t="shared" si="134"/>
        <v>0</v>
      </c>
      <c r="R1077">
        <f t="shared" si="135"/>
        <v>0</v>
      </c>
    </row>
    <row r="1078" spans="2:18" x14ac:dyDescent="0.2">
      <c r="B1078" s="1209"/>
      <c r="C1078" s="1210"/>
      <c r="D1078" s="939"/>
      <c r="E1078" s="1211" t="str">
        <f t="shared" si="130"/>
        <v xml:space="preserve"> </v>
      </c>
      <c r="G1078" s="1212" t="str">
        <f t="shared" si="131"/>
        <v xml:space="preserve"> </v>
      </c>
      <c r="H1078" s="1201"/>
      <c r="I1078">
        <f t="shared" si="128"/>
        <v>0</v>
      </c>
      <c r="K1078">
        <f t="shared" si="129"/>
        <v>0</v>
      </c>
      <c r="L1078" s="1213"/>
      <c r="N1078" s="1214" t="str">
        <f t="shared" si="132"/>
        <v xml:space="preserve"> </v>
      </c>
      <c r="O1078" s="1215" t="str">
        <f t="shared" si="133"/>
        <v xml:space="preserve"> </v>
      </c>
      <c r="Q1078">
        <f t="shared" si="134"/>
        <v>0</v>
      </c>
      <c r="R1078">
        <f t="shared" si="135"/>
        <v>0</v>
      </c>
    </row>
    <row r="1079" spans="2:18" x14ac:dyDescent="0.2">
      <c r="B1079" s="1209"/>
      <c r="C1079" s="1210"/>
      <c r="D1079" s="939"/>
      <c r="E1079" s="1211" t="str">
        <f t="shared" si="130"/>
        <v xml:space="preserve"> </v>
      </c>
      <c r="G1079" s="1212" t="str">
        <f t="shared" si="131"/>
        <v xml:space="preserve"> </v>
      </c>
      <c r="H1079" s="1201"/>
      <c r="I1079">
        <f t="shared" si="128"/>
        <v>0</v>
      </c>
      <c r="K1079">
        <f t="shared" si="129"/>
        <v>0</v>
      </c>
      <c r="L1079" s="1213"/>
      <c r="N1079" s="1214" t="str">
        <f t="shared" si="132"/>
        <v xml:space="preserve"> </v>
      </c>
      <c r="O1079" s="1215" t="str">
        <f t="shared" si="133"/>
        <v xml:space="preserve"> </v>
      </c>
      <c r="Q1079">
        <f t="shared" si="134"/>
        <v>0</v>
      </c>
      <c r="R1079">
        <f t="shared" si="135"/>
        <v>0</v>
      </c>
    </row>
    <row r="1080" spans="2:18" x14ac:dyDescent="0.2">
      <c r="B1080" s="1209"/>
      <c r="C1080" s="1210"/>
      <c r="D1080" s="939"/>
      <c r="E1080" s="1211" t="str">
        <f t="shared" si="130"/>
        <v xml:space="preserve"> </v>
      </c>
      <c r="G1080" s="1212" t="str">
        <f t="shared" si="131"/>
        <v xml:space="preserve"> </v>
      </c>
      <c r="H1080" s="1201"/>
      <c r="I1080">
        <f t="shared" si="128"/>
        <v>0</v>
      </c>
      <c r="K1080">
        <f t="shared" si="129"/>
        <v>0</v>
      </c>
      <c r="L1080" s="1213"/>
      <c r="N1080" s="1214" t="str">
        <f t="shared" si="132"/>
        <v xml:space="preserve"> </v>
      </c>
      <c r="O1080" s="1215" t="str">
        <f t="shared" si="133"/>
        <v xml:space="preserve"> </v>
      </c>
      <c r="Q1080">
        <f t="shared" si="134"/>
        <v>0</v>
      </c>
      <c r="R1080">
        <f t="shared" si="135"/>
        <v>0</v>
      </c>
    </row>
    <row r="1081" spans="2:18" x14ac:dyDescent="0.2">
      <c r="B1081" s="1209"/>
      <c r="C1081" s="1210"/>
      <c r="D1081" s="939"/>
      <c r="E1081" s="1211" t="str">
        <f t="shared" si="130"/>
        <v xml:space="preserve"> </v>
      </c>
      <c r="G1081" s="1212" t="str">
        <f t="shared" si="131"/>
        <v xml:space="preserve"> </v>
      </c>
      <c r="H1081" s="1201"/>
      <c r="I1081">
        <f t="shared" si="128"/>
        <v>0</v>
      </c>
      <c r="K1081">
        <f t="shared" si="129"/>
        <v>0</v>
      </c>
      <c r="L1081" s="1213"/>
      <c r="N1081" s="1214" t="str">
        <f t="shared" si="132"/>
        <v xml:space="preserve"> </v>
      </c>
      <c r="O1081" s="1215" t="str">
        <f t="shared" si="133"/>
        <v xml:space="preserve"> </v>
      </c>
      <c r="Q1081">
        <f t="shared" si="134"/>
        <v>0</v>
      </c>
      <c r="R1081">
        <f t="shared" si="135"/>
        <v>0</v>
      </c>
    </row>
    <row r="1082" spans="2:18" x14ac:dyDescent="0.2">
      <c r="B1082" s="1209"/>
      <c r="C1082" s="1210"/>
      <c r="D1082" s="939"/>
      <c r="E1082" s="1211" t="str">
        <f t="shared" si="130"/>
        <v xml:space="preserve"> </v>
      </c>
      <c r="G1082" s="1212" t="str">
        <f t="shared" si="131"/>
        <v xml:space="preserve"> </v>
      </c>
      <c r="H1082" s="1201"/>
      <c r="I1082">
        <f t="shared" si="128"/>
        <v>0</v>
      </c>
      <c r="K1082">
        <f t="shared" si="129"/>
        <v>0</v>
      </c>
      <c r="L1082" s="1213"/>
      <c r="N1082" s="1214" t="str">
        <f t="shared" si="132"/>
        <v xml:space="preserve"> </v>
      </c>
      <c r="O1082" s="1215" t="str">
        <f t="shared" si="133"/>
        <v xml:space="preserve"> </v>
      </c>
      <c r="Q1082">
        <f t="shared" si="134"/>
        <v>0</v>
      </c>
      <c r="R1082">
        <f t="shared" si="135"/>
        <v>0</v>
      </c>
    </row>
    <row r="1083" spans="2:18" x14ac:dyDescent="0.2">
      <c r="B1083" s="1209"/>
      <c r="C1083" s="1210"/>
      <c r="D1083" s="939"/>
      <c r="E1083" s="1211" t="str">
        <f t="shared" si="130"/>
        <v xml:space="preserve"> </v>
      </c>
      <c r="G1083" s="1212" t="str">
        <f t="shared" si="131"/>
        <v xml:space="preserve"> </v>
      </c>
      <c r="H1083" s="1201"/>
      <c r="I1083">
        <f t="shared" si="128"/>
        <v>0</v>
      </c>
      <c r="K1083">
        <f t="shared" si="129"/>
        <v>0</v>
      </c>
      <c r="L1083" s="1213"/>
      <c r="N1083" s="1214" t="str">
        <f t="shared" si="132"/>
        <v xml:space="preserve"> </v>
      </c>
      <c r="O1083" s="1215" t="str">
        <f t="shared" si="133"/>
        <v xml:space="preserve"> </v>
      </c>
      <c r="Q1083">
        <f t="shared" si="134"/>
        <v>0</v>
      </c>
      <c r="R1083">
        <f t="shared" si="135"/>
        <v>0</v>
      </c>
    </row>
    <row r="1084" spans="2:18" x14ac:dyDescent="0.2">
      <c r="B1084" s="1209"/>
      <c r="C1084" s="1210"/>
      <c r="D1084" s="939"/>
      <c r="E1084" s="1211" t="str">
        <f t="shared" si="130"/>
        <v xml:space="preserve"> </v>
      </c>
      <c r="G1084" s="1212" t="str">
        <f t="shared" si="131"/>
        <v xml:space="preserve"> </v>
      </c>
      <c r="H1084" s="1201"/>
      <c r="I1084">
        <f t="shared" si="128"/>
        <v>0</v>
      </c>
      <c r="K1084">
        <f t="shared" si="129"/>
        <v>0</v>
      </c>
      <c r="L1084" s="1213"/>
      <c r="N1084" s="1214" t="str">
        <f t="shared" si="132"/>
        <v xml:space="preserve"> </v>
      </c>
      <c r="O1084" s="1215" t="str">
        <f t="shared" si="133"/>
        <v xml:space="preserve"> </v>
      </c>
      <c r="Q1084">
        <f t="shared" si="134"/>
        <v>0</v>
      </c>
      <c r="R1084">
        <f t="shared" si="135"/>
        <v>0</v>
      </c>
    </row>
    <row r="1085" spans="2:18" x14ac:dyDescent="0.2">
      <c r="B1085" s="1209"/>
      <c r="C1085" s="1210"/>
      <c r="D1085" s="939"/>
      <c r="E1085" s="1211" t="str">
        <f t="shared" si="130"/>
        <v xml:space="preserve"> </v>
      </c>
      <c r="G1085" s="1212" t="str">
        <f t="shared" si="131"/>
        <v xml:space="preserve"> </v>
      </c>
      <c r="H1085" s="1201"/>
      <c r="I1085">
        <f t="shared" si="128"/>
        <v>0</v>
      </c>
      <c r="K1085">
        <f t="shared" si="129"/>
        <v>0</v>
      </c>
      <c r="L1085" s="1213"/>
      <c r="N1085" s="1214" t="str">
        <f t="shared" si="132"/>
        <v xml:space="preserve"> </v>
      </c>
      <c r="O1085" s="1215" t="str">
        <f t="shared" si="133"/>
        <v xml:space="preserve"> </v>
      </c>
      <c r="Q1085">
        <f t="shared" si="134"/>
        <v>0</v>
      </c>
      <c r="R1085">
        <f t="shared" si="135"/>
        <v>0</v>
      </c>
    </row>
    <row r="1086" spans="2:18" x14ac:dyDescent="0.2">
      <c r="B1086" s="1209"/>
      <c r="C1086" s="1210"/>
      <c r="D1086" s="939"/>
      <c r="E1086" s="1211" t="str">
        <f t="shared" si="130"/>
        <v xml:space="preserve"> </v>
      </c>
      <c r="G1086" s="1212" t="str">
        <f t="shared" si="131"/>
        <v xml:space="preserve"> </v>
      </c>
      <c r="H1086" s="1201"/>
      <c r="I1086">
        <f t="shared" si="128"/>
        <v>0</v>
      </c>
      <c r="K1086">
        <f t="shared" si="129"/>
        <v>0</v>
      </c>
      <c r="L1086" s="1213"/>
      <c r="N1086" s="1214" t="str">
        <f t="shared" si="132"/>
        <v xml:space="preserve"> </v>
      </c>
      <c r="O1086" s="1215" t="str">
        <f t="shared" si="133"/>
        <v xml:space="preserve"> </v>
      </c>
      <c r="Q1086">
        <f t="shared" si="134"/>
        <v>0</v>
      </c>
      <c r="R1086">
        <f t="shared" si="135"/>
        <v>0</v>
      </c>
    </row>
    <row r="1087" spans="2:18" x14ac:dyDescent="0.2">
      <c r="B1087" s="1209"/>
      <c r="C1087" s="1210"/>
      <c r="D1087" s="939"/>
      <c r="E1087" s="1211" t="str">
        <f t="shared" si="130"/>
        <v xml:space="preserve"> </v>
      </c>
      <c r="G1087" s="1212" t="str">
        <f t="shared" si="131"/>
        <v xml:space="preserve"> </v>
      </c>
      <c r="H1087" s="1201"/>
      <c r="I1087">
        <f t="shared" si="128"/>
        <v>0</v>
      </c>
      <c r="K1087">
        <f t="shared" si="129"/>
        <v>0</v>
      </c>
      <c r="L1087" s="1213"/>
      <c r="N1087" s="1214" t="str">
        <f t="shared" si="132"/>
        <v xml:space="preserve"> </v>
      </c>
      <c r="O1087" s="1215" t="str">
        <f t="shared" si="133"/>
        <v xml:space="preserve"> </v>
      </c>
      <c r="Q1087">
        <f t="shared" si="134"/>
        <v>0</v>
      </c>
      <c r="R1087">
        <f t="shared" si="135"/>
        <v>0</v>
      </c>
    </row>
    <row r="1088" spans="2:18" x14ac:dyDescent="0.2">
      <c r="B1088" s="1209"/>
      <c r="C1088" s="1210"/>
      <c r="D1088" s="939"/>
      <c r="E1088" s="1211" t="str">
        <f t="shared" si="130"/>
        <v xml:space="preserve"> </v>
      </c>
      <c r="G1088" s="1212" t="str">
        <f t="shared" si="131"/>
        <v xml:space="preserve"> </v>
      </c>
      <c r="H1088" s="1201"/>
      <c r="I1088">
        <f t="shared" si="128"/>
        <v>0</v>
      </c>
      <c r="K1088">
        <f t="shared" si="129"/>
        <v>0</v>
      </c>
      <c r="L1088" s="1213"/>
      <c r="N1088" s="1214" t="str">
        <f t="shared" si="132"/>
        <v xml:space="preserve"> </v>
      </c>
      <c r="O1088" s="1215" t="str">
        <f t="shared" si="133"/>
        <v xml:space="preserve"> </v>
      </c>
      <c r="Q1088">
        <f t="shared" si="134"/>
        <v>0</v>
      </c>
      <c r="R1088">
        <f t="shared" si="135"/>
        <v>0</v>
      </c>
    </row>
    <row r="1089" spans="2:18" x14ac:dyDescent="0.2">
      <c r="B1089" s="1209"/>
      <c r="C1089" s="1210"/>
      <c r="D1089" s="939"/>
      <c r="E1089" s="1211" t="str">
        <f t="shared" si="130"/>
        <v xml:space="preserve"> </v>
      </c>
      <c r="G1089" s="1212" t="str">
        <f t="shared" si="131"/>
        <v xml:space="preserve"> </v>
      </c>
      <c r="H1089" s="1201"/>
      <c r="I1089">
        <f t="shared" si="128"/>
        <v>0</v>
      </c>
      <c r="K1089">
        <f t="shared" si="129"/>
        <v>0</v>
      </c>
      <c r="L1089" s="1213"/>
      <c r="N1089" s="1214" t="str">
        <f t="shared" si="132"/>
        <v xml:space="preserve"> </v>
      </c>
      <c r="O1089" s="1215" t="str">
        <f t="shared" si="133"/>
        <v xml:space="preserve"> </v>
      </c>
      <c r="Q1089">
        <f t="shared" si="134"/>
        <v>0</v>
      </c>
      <c r="R1089">
        <f t="shared" si="135"/>
        <v>0</v>
      </c>
    </row>
    <row r="1090" spans="2:18" x14ac:dyDescent="0.2">
      <c r="B1090" s="1209"/>
      <c r="C1090" s="1210"/>
      <c r="D1090" s="939"/>
      <c r="E1090" s="1211" t="str">
        <f t="shared" si="130"/>
        <v xml:space="preserve"> </v>
      </c>
      <c r="G1090" s="1212" t="str">
        <f t="shared" si="131"/>
        <v xml:space="preserve"> </v>
      </c>
      <c r="H1090" s="1201"/>
      <c r="I1090">
        <f t="shared" si="128"/>
        <v>0</v>
      </c>
      <c r="K1090">
        <f t="shared" si="129"/>
        <v>0</v>
      </c>
      <c r="L1090" s="1213"/>
      <c r="N1090" s="1214" t="str">
        <f t="shared" si="132"/>
        <v xml:space="preserve"> </v>
      </c>
      <c r="O1090" s="1215" t="str">
        <f t="shared" si="133"/>
        <v xml:space="preserve"> </v>
      </c>
      <c r="Q1090">
        <f t="shared" si="134"/>
        <v>0</v>
      </c>
      <c r="R1090">
        <f t="shared" si="135"/>
        <v>0</v>
      </c>
    </row>
    <row r="1091" spans="2:18" x14ac:dyDescent="0.2">
      <c r="B1091" s="1209"/>
      <c r="C1091" s="1210"/>
      <c r="D1091" s="939"/>
      <c r="E1091" s="1211" t="str">
        <f t="shared" si="130"/>
        <v xml:space="preserve"> </v>
      </c>
      <c r="G1091" s="1212" t="str">
        <f t="shared" si="131"/>
        <v xml:space="preserve"> </v>
      </c>
      <c r="H1091" s="1201"/>
      <c r="I1091">
        <f t="shared" si="128"/>
        <v>0</v>
      </c>
      <c r="K1091">
        <f t="shared" si="129"/>
        <v>0</v>
      </c>
      <c r="L1091" s="1213"/>
      <c r="N1091" s="1214" t="str">
        <f t="shared" si="132"/>
        <v xml:space="preserve"> </v>
      </c>
      <c r="O1091" s="1215" t="str">
        <f t="shared" si="133"/>
        <v xml:space="preserve"> </v>
      </c>
      <c r="Q1091">
        <f t="shared" si="134"/>
        <v>0</v>
      </c>
      <c r="R1091">
        <f t="shared" si="135"/>
        <v>0</v>
      </c>
    </row>
    <row r="1092" spans="2:18" x14ac:dyDescent="0.2">
      <c r="B1092" s="1209"/>
      <c r="C1092" s="1210"/>
      <c r="D1092" s="939"/>
      <c r="E1092" s="1211" t="str">
        <f t="shared" si="130"/>
        <v xml:space="preserve"> </v>
      </c>
      <c r="G1092" s="1212" t="str">
        <f t="shared" si="131"/>
        <v xml:space="preserve"> </v>
      </c>
      <c r="H1092" s="1201"/>
      <c r="I1092">
        <f t="shared" si="128"/>
        <v>0</v>
      </c>
      <c r="K1092">
        <f t="shared" si="129"/>
        <v>0</v>
      </c>
      <c r="L1092" s="1213"/>
      <c r="N1092" s="1214" t="str">
        <f t="shared" si="132"/>
        <v xml:space="preserve"> </v>
      </c>
      <c r="O1092" s="1215" t="str">
        <f t="shared" si="133"/>
        <v xml:space="preserve"> </v>
      </c>
      <c r="Q1092">
        <f t="shared" si="134"/>
        <v>0</v>
      </c>
      <c r="R1092">
        <f t="shared" si="135"/>
        <v>0</v>
      </c>
    </row>
    <row r="1093" spans="2:18" x14ac:dyDescent="0.2">
      <c r="B1093" s="1209"/>
      <c r="C1093" s="1210"/>
      <c r="D1093" s="939"/>
      <c r="E1093" s="1211" t="str">
        <f t="shared" si="130"/>
        <v xml:space="preserve"> </v>
      </c>
      <c r="G1093" s="1212" t="str">
        <f t="shared" si="131"/>
        <v xml:space="preserve"> </v>
      </c>
      <c r="H1093" s="1201"/>
      <c r="I1093">
        <f t="shared" si="128"/>
        <v>0</v>
      </c>
      <c r="K1093">
        <f t="shared" si="129"/>
        <v>0</v>
      </c>
      <c r="L1093" s="1213"/>
      <c r="N1093" s="1214" t="str">
        <f t="shared" si="132"/>
        <v xml:space="preserve"> </v>
      </c>
      <c r="O1093" s="1215" t="str">
        <f t="shared" si="133"/>
        <v xml:space="preserve"> </v>
      </c>
      <c r="Q1093">
        <f t="shared" si="134"/>
        <v>0</v>
      </c>
      <c r="R1093">
        <f t="shared" si="135"/>
        <v>0</v>
      </c>
    </row>
    <row r="1094" spans="2:18" x14ac:dyDescent="0.2">
      <c r="B1094" s="1209"/>
      <c r="C1094" s="1210"/>
      <c r="D1094" s="939"/>
      <c r="E1094" s="1211" t="str">
        <f t="shared" si="130"/>
        <v xml:space="preserve"> </v>
      </c>
      <c r="G1094" s="1212" t="str">
        <f t="shared" si="131"/>
        <v xml:space="preserve"> </v>
      </c>
      <c r="H1094" s="1201"/>
      <c r="I1094">
        <f t="shared" si="128"/>
        <v>0</v>
      </c>
      <c r="K1094">
        <f t="shared" si="129"/>
        <v>0</v>
      </c>
      <c r="L1094" s="1213"/>
      <c r="N1094" s="1214" t="str">
        <f t="shared" si="132"/>
        <v xml:space="preserve"> </v>
      </c>
      <c r="O1094" s="1215" t="str">
        <f t="shared" si="133"/>
        <v xml:space="preserve"> </v>
      </c>
      <c r="Q1094">
        <f t="shared" si="134"/>
        <v>0</v>
      </c>
      <c r="R1094">
        <f t="shared" si="135"/>
        <v>0</v>
      </c>
    </row>
    <row r="1095" spans="2:18" x14ac:dyDescent="0.2">
      <c r="B1095" s="1209"/>
      <c r="C1095" s="1210"/>
      <c r="D1095" s="939"/>
      <c r="E1095" s="1211" t="str">
        <f t="shared" si="130"/>
        <v xml:space="preserve"> </v>
      </c>
      <c r="G1095" s="1212" t="str">
        <f t="shared" si="131"/>
        <v xml:space="preserve"> </v>
      </c>
      <c r="H1095" s="1201"/>
      <c r="I1095">
        <f t="shared" si="128"/>
        <v>0</v>
      </c>
      <c r="K1095">
        <f t="shared" si="129"/>
        <v>0</v>
      </c>
      <c r="L1095" s="1213"/>
      <c r="N1095" s="1214" t="str">
        <f t="shared" si="132"/>
        <v xml:space="preserve"> </v>
      </c>
      <c r="O1095" s="1215" t="str">
        <f t="shared" si="133"/>
        <v xml:space="preserve"> </v>
      </c>
      <c r="Q1095">
        <f t="shared" si="134"/>
        <v>0</v>
      </c>
      <c r="R1095">
        <f t="shared" si="135"/>
        <v>0</v>
      </c>
    </row>
    <row r="1096" spans="2:18" x14ac:dyDescent="0.2">
      <c r="B1096" s="1209"/>
      <c r="C1096" s="1210"/>
      <c r="D1096" s="939"/>
      <c r="E1096" s="1211" t="str">
        <f t="shared" si="130"/>
        <v xml:space="preserve"> </v>
      </c>
      <c r="G1096" s="1212" t="str">
        <f t="shared" si="131"/>
        <v xml:space="preserve"> </v>
      </c>
      <c r="H1096" s="1201"/>
      <c r="I1096">
        <f>(J1096+C1096)/12</f>
        <v>0</v>
      </c>
      <c r="K1096">
        <f t="shared" si="129"/>
        <v>0</v>
      </c>
      <c r="L1096" s="1213"/>
      <c r="N1096" s="1214" t="str">
        <f t="shared" si="132"/>
        <v xml:space="preserve"> </v>
      </c>
      <c r="O1096" s="1215" t="str">
        <f t="shared" si="133"/>
        <v xml:space="preserve"> </v>
      </c>
      <c r="Q1096">
        <f t="shared" si="134"/>
        <v>0</v>
      </c>
      <c r="R1096">
        <f t="shared" si="135"/>
        <v>0</v>
      </c>
    </row>
    <row r="1097" spans="2:18" ht="13.5" thickBot="1" x14ac:dyDescent="0.25">
      <c r="B1097" s="1209"/>
      <c r="C1097" s="1216"/>
      <c r="D1097" s="939"/>
      <c r="E1097" s="1211" t="str">
        <f>IF(K1097=0," ",IF(K1097&gt;0,K1097*12*25.4))</f>
        <v xml:space="preserve"> </v>
      </c>
      <c r="G1097" s="1212" t="str">
        <f t="shared" si="131"/>
        <v xml:space="preserve"> </v>
      </c>
      <c r="H1097" s="1217"/>
      <c r="I1097">
        <f>(J1097+C1097)/12</f>
        <v>0</v>
      </c>
      <c r="K1097">
        <f t="shared" si="129"/>
        <v>0</v>
      </c>
      <c r="L1097" s="1213"/>
      <c r="N1097" s="1214" t="str">
        <f t="shared" si="132"/>
        <v xml:space="preserve"> </v>
      </c>
      <c r="O1097" s="1215" t="str">
        <f t="shared" si="133"/>
        <v xml:space="preserve"> </v>
      </c>
      <c r="Q1097">
        <f t="shared" si="134"/>
        <v>0</v>
      </c>
      <c r="R1097">
        <f t="shared" si="135"/>
        <v>0</v>
      </c>
    </row>
    <row r="1098" spans="2:18" ht="13.5" thickTop="1" x14ac:dyDescent="0.2"/>
  </sheetData>
  <sheetProtection password="CDD2" sheet="1" objects="1" scenarios="1"/>
  <pageMargins left="0.75" right="0.75" top="1" bottom="1" header="0.5" footer="0.5"/>
  <headerFooter alignWithMargins="0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48"/>
  <sheetViews>
    <sheetView showGridLines="0" workbookViewId="0"/>
  </sheetViews>
  <sheetFormatPr defaultRowHeight="12.75" x14ac:dyDescent="0.2"/>
  <cols>
    <col min="8" max="8" width="75" customWidth="1"/>
  </cols>
  <sheetData>
    <row r="1" spans="2:8" ht="18.75" x14ac:dyDescent="0.3">
      <c r="B1" s="1131" t="s">
        <v>736</v>
      </c>
    </row>
    <row r="2" spans="2:8" x14ac:dyDescent="0.2">
      <c r="B2" s="825" t="s">
        <v>724</v>
      </c>
    </row>
    <row r="3" spans="2:8" x14ac:dyDescent="0.2">
      <c r="B3" s="235" t="s">
        <v>677</v>
      </c>
      <c r="H3" t="s">
        <v>725</v>
      </c>
    </row>
    <row r="4" spans="2:8" x14ac:dyDescent="0.2">
      <c r="H4" t="s">
        <v>744</v>
      </c>
    </row>
    <row r="5" spans="2:8" x14ac:dyDescent="0.2">
      <c r="H5" t="s">
        <v>726</v>
      </c>
    </row>
    <row r="6" spans="2:8" x14ac:dyDescent="0.2">
      <c r="H6" t="s">
        <v>745</v>
      </c>
    </row>
    <row r="7" spans="2:8" x14ac:dyDescent="0.2">
      <c r="H7" t="s">
        <v>727</v>
      </c>
    </row>
    <row r="8" spans="2:8" x14ac:dyDescent="0.2">
      <c r="H8" t="s">
        <v>733</v>
      </c>
    </row>
    <row r="9" spans="2:8" x14ac:dyDescent="0.2">
      <c r="H9" t="s">
        <v>746</v>
      </c>
    </row>
    <row r="10" spans="2:8" x14ac:dyDescent="0.2">
      <c r="H10" t="s">
        <v>728</v>
      </c>
    </row>
    <row r="11" spans="2:8" x14ac:dyDescent="0.2">
      <c r="H11" t="s">
        <v>747</v>
      </c>
    </row>
    <row r="12" spans="2:8" x14ac:dyDescent="0.2">
      <c r="H12" t="s">
        <v>729</v>
      </c>
    </row>
    <row r="13" spans="2:8" x14ac:dyDescent="0.2">
      <c r="H13" s="1226" t="s">
        <v>730</v>
      </c>
    </row>
    <row r="14" spans="2:8" x14ac:dyDescent="0.2">
      <c r="H14" t="s">
        <v>748</v>
      </c>
    </row>
    <row r="15" spans="2:8" x14ac:dyDescent="0.2">
      <c r="H15" t="s">
        <v>734</v>
      </c>
    </row>
    <row r="16" spans="2:8" x14ac:dyDescent="0.2">
      <c r="H16" t="s">
        <v>742</v>
      </c>
    </row>
    <row r="17" spans="8:8" x14ac:dyDescent="0.2">
      <c r="H17" t="s">
        <v>741</v>
      </c>
    </row>
    <row r="18" spans="8:8" x14ac:dyDescent="0.2">
      <c r="H18" t="s">
        <v>749</v>
      </c>
    </row>
    <row r="19" spans="8:8" x14ac:dyDescent="0.2">
      <c r="H19" t="s">
        <v>740</v>
      </c>
    </row>
    <row r="20" spans="8:8" x14ac:dyDescent="0.2">
      <c r="H20" t="s">
        <v>731</v>
      </c>
    </row>
    <row r="21" spans="8:8" x14ac:dyDescent="0.2">
      <c r="H21" t="s">
        <v>750</v>
      </c>
    </row>
    <row r="22" spans="8:8" x14ac:dyDescent="0.2">
      <c r="H22" t="s">
        <v>751</v>
      </c>
    </row>
    <row r="23" spans="8:8" x14ac:dyDescent="0.2">
      <c r="H23" t="s">
        <v>864</v>
      </c>
    </row>
    <row r="24" spans="8:8" x14ac:dyDescent="0.2">
      <c r="H24" t="s">
        <v>879</v>
      </c>
    </row>
    <row r="25" spans="8:8" x14ac:dyDescent="0.2">
      <c r="H25" t="s">
        <v>874</v>
      </c>
    </row>
    <row r="26" spans="8:8" x14ac:dyDescent="0.2">
      <c r="H26" t="s">
        <v>732</v>
      </c>
    </row>
    <row r="27" spans="8:8" x14ac:dyDescent="0.2">
      <c r="H27" t="s">
        <v>865</v>
      </c>
    </row>
    <row r="28" spans="8:8" x14ac:dyDescent="0.2">
      <c r="H28" t="s">
        <v>875</v>
      </c>
    </row>
    <row r="29" spans="8:8" x14ac:dyDescent="0.2">
      <c r="H29" t="s">
        <v>743</v>
      </c>
    </row>
    <row r="30" spans="8:8" x14ac:dyDescent="0.2">
      <c r="H30" t="s">
        <v>876</v>
      </c>
    </row>
    <row r="31" spans="8:8" x14ac:dyDescent="0.2">
      <c r="H31" t="s">
        <v>866</v>
      </c>
    </row>
    <row r="32" spans="8:8" x14ac:dyDescent="0.2">
      <c r="H32" t="s">
        <v>674</v>
      </c>
    </row>
    <row r="33" spans="8:14" x14ac:dyDescent="0.2">
      <c r="H33" t="s">
        <v>675</v>
      </c>
    </row>
    <row r="34" spans="8:14" x14ac:dyDescent="0.2">
      <c r="H34" t="s">
        <v>877</v>
      </c>
      <c r="N34" s="1113" t="s">
        <v>867</v>
      </c>
    </row>
    <row r="35" spans="8:14" x14ac:dyDescent="0.2">
      <c r="H35" t="s">
        <v>735</v>
      </c>
    </row>
    <row r="36" spans="8:14" x14ac:dyDescent="0.2">
      <c r="H36" t="s">
        <v>868</v>
      </c>
    </row>
    <row r="37" spans="8:14" x14ac:dyDescent="0.2">
      <c r="H37" t="s">
        <v>880</v>
      </c>
    </row>
    <row r="38" spans="8:14" x14ac:dyDescent="0.2">
      <c r="H38" t="s">
        <v>871</v>
      </c>
    </row>
    <row r="39" spans="8:14" x14ac:dyDescent="0.2">
      <c r="H39" t="s">
        <v>869</v>
      </c>
    </row>
    <row r="40" spans="8:14" x14ac:dyDescent="0.2">
      <c r="H40" t="s">
        <v>870</v>
      </c>
    </row>
    <row r="41" spans="8:14" x14ac:dyDescent="0.2">
      <c r="H41" t="s">
        <v>676</v>
      </c>
    </row>
    <row r="42" spans="8:14" x14ac:dyDescent="0.2">
      <c r="H42" t="s">
        <v>872</v>
      </c>
    </row>
    <row r="43" spans="8:14" x14ac:dyDescent="0.2">
      <c r="H43" t="s">
        <v>878</v>
      </c>
    </row>
    <row r="44" spans="8:14" x14ac:dyDescent="0.2">
      <c r="H44" t="s">
        <v>873</v>
      </c>
    </row>
    <row r="45" spans="8:14" x14ac:dyDescent="0.2">
      <c r="H45" t="s">
        <v>881</v>
      </c>
    </row>
    <row r="46" spans="8:14" x14ac:dyDescent="0.2">
      <c r="H46" t="s">
        <v>738</v>
      </c>
    </row>
    <row r="47" spans="8:14" x14ac:dyDescent="0.2">
      <c r="H47" t="s">
        <v>737</v>
      </c>
    </row>
    <row r="48" spans="8:14" x14ac:dyDescent="0.2">
      <c r="H48" t="s">
        <v>739</v>
      </c>
    </row>
  </sheetData>
  <sheetProtection password="CDD2" sheet="1" objects="1" scenarios="1"/>
  <pageMargins left="0.75" right="0.75" top="1" bottom="1" header="0.5" footer="0.5"/>
  <pageSetup paperSize="17" orientation="landscape" verticalDpi="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0"/>
  <sheetViews>
    <sheetView showGridLines="0" workbookViewId="0"/>
  </sheetViews>
  <sheetFormatPr defaultRowHeight="12.75" x14ac:dyDescent="0.2"/>
  <cols>
    <col min="3" max="4" width="12.140625" customWidth="1"/>
    <col min="5" max="5" width="13" customWidth="1"/>
    <col min="6" max="6" width="11.85546875" customWidth="1"/>
    <col min="8" max="8" width="11.28515625" customWidth="1"/>
    <col min="10" max="10" width="11.28515625" customWidth="1"/>
    <col min="15" max="17" width="0" hidden="1" customWidth="1"/>
    <col min="18" max="18" width="10.85546875" hidden="1" customWidth="1"/>
    <col min="19" max="21" width="0" hidden="1" customWidth="1"/>
  </cols>
  <sheetData>
    <row r="2" spans="1:5" ht="18.75" x14ac:dyDescent="0.3">
      <c r="A2" s="1131" t="s">
        <v>685</v>
      </c>
    </row>
    <row r="3" spans="1:5" ht="13.5" thickBot="1" x14ac:dyDescent="0.25">
      <c r="A3" s="17" t="s">
        <v>890</v>
      </c>
    </row>
    <row r="4" spans="1:5" ht="13.5" thickTop="1" x14ac:dyDescent="0.2">
      <c r="B4" s="1149" t="s">
        <v>669</v>
      </c>
      <c r="C4" s="1150"/>
      <c r="D4" s="1151"/>
      <c r="E4" s="1152" t="s">
        <v>670</v>
      </c>
    </row>
    <row r="5" spans="1:5" ht="13.5" thickBot="1" x14ac:dyDescent="0.25">
      <c r="B5" s="1153" t="s">
        <v>687</v>
      </c>
      <c r="C5" s="1154"/>
      <c r="D5" s="1155"/>
      <c r="E5" s="1156" t="s">
        <v>894</v>
      </c>
    </row>
    <row r="6" spans="1:5" ht="13.5" thickTop="1" x14ac:dyDescent="0.2">
      <c r="B6" s="1132" t="s">
        <v>671</v>
      </c>
      <c r="C6" s="961"/>
      <c r="D6" s="1133"/>
      <c r="E6" s="1148" t="s">
        <v>672</v>
      </c>
    </row>
    <row r="7" spans="1:5" x14ac:dyDescent="0.2">
      <c r="B7" s="1137" t="s">
        <v>678</v>
      </c>
      <c r="C7" s="962"/>
      <c r="D7" s="1134"/>
      <c r="E7" s="1141" t="s">
        <v>673</v>
      </c>
    </row>
    <row r="8" spans="1:5" ht="13.5" thickBot="1" x14ac:dyDescent="0.25">
      <c r="B8" s="1138" t="s">
        <v>679</v>
      </c>
      <c r="C8" s="1135"/>
      <c r="D8" s="1136"/>
      <c r="E8" s="1142" t="s">
        <v>680</v>
      </c>
    </row>
    <row r="9" spans="1:5" ht="8.25" customHeight="1" thickTop="1" x14ac:dyDescent="0.2"/>
    <row r="10" spans="1:5" x14ac:dyDescent="0.2">
      <c r="A10" s="17" t="s">
        <v>681</v>
      </c>
    </row>
    <row r="11" spans="1:5" x14ac:dyDescent="0.2">
      <c r="A11" t="s">
        <v>682</v>
      </c>
    </row>
    <row r="12" spans="1:5" ht="8.25" customHeight="1" x14ac:dyDescent="0.2"/>
    <row r="13" spans="1:5" x14ac:dyDescent="0.2">
      <c r="A13" s="17" t="s">
        <v>683</v>
      </c>
    </row>
    <row r="14" spans="1:5" ht="8.25" customHeight="1" x14ac:dyDescent="0.2"/>
    <row r="15" spans="1:5" x14ac:dyDescent="0.2">
      <c r="A15" s="17" t="s">
        <v>688</v>
      </c>
    </row>
    <row r="16" spans="1:5" ht="8.25" customHeight="1" x14ac:dyDescent="0.2"/>
    <row r="17" spans="1:21" x14ac:dyDescent="0.2">
      <c r="A17" s="17" t="s">
        <v>684</v>
      </c>
    </row>
    <row r="18" spans="1:21" x14ac:dyDescent="0.2">
      <c r="A18" s="17" t="s">
        <v>689</v>
      </c>
    </row>
    <row r="19" spans="1:21" x14ac:dyDescent="0.2">
      <c r="A19" t="s">
        <v>686</v>
      </c>
    </row>
    <row r="20" spans="1:21" x14ac:dyDescent="0.2">
      <c r="A20" s="827" t="s">
        <v>883</v>
      </c>
    </row>
    <row r="21" spans="1:21" ht="13.5" thickBot="1" x14ac:dyDescent="0.25">
      <c r="G21" s="825"/>
    </row>
    <row r="22" spans="1:21" ht="13.5" thickTop="1" x14ac:dyDescent="0.2">
      <c r="B22" s="1152" t="s">
        <v>690</v>
      </c>
      <c r="C22" s="1152" t="s">
        <v>693</v>
      </c>
      <c r="D22" s="1152" t="s">
        <v>694</v>
      </c>
      <c r="G22" s="827" t="s">
        <v>45</v>
      </c>
    </row>
    <row r="23" spans="1:21" ht="13.5" thickBot="1" x14ac:dyDescent="0.25">
      <c r="B23" s="1157" t="s">
        <v>691</v>
      </c>
      <c r="C23" s="1158"/>
      <c r="D23" s="1158"/>
      <c r="G23" s="398" t="s">
        <v>1832</v>
      </c>
      <c r="H23" s="398" t="s">
        <v>1802</v>
      </c>
      <c r="I23" s="28" t="s">
        <v>46</v>
      </c>
      <c r="J23" s="28" t="s">
        <v>1803</v>
      </c>
    </row>
    <row r="24" spans="1:21" ht="14.25" thickTop="1" thickBot="1" x14ac:dyDescent="0.25">
      <c r="B24" s="1156" t="s">
        <v>692</v>
      </c>
      <c r="C24" s="1159" t="s">
        <v>695</v>
      </c>
      <c r="D24" s="1159" t="s">
        <v>695</v>
      </c>
      <c r="F24" s="794" t="s">
        <v>47</v>
      </c>
      <c r="G24" s="836">
        <v>8</v>
      </c>
      <c r="H24" s="837">
        <v>6</v>
      </c>
      <c r="I24" s="826">
        <f>H24/12+G24</f>
        <v>8.5</v>
      </c>
      <c r="J24" s="851">
        <f>I24*12*25.4</f>
        <v>2590.7999999999997</v>
      </c>
    </row>
    <row r="25" spans="1:21" ht="13.5" thickTop="1" x14ac:dyDescent="0.2">
      <c r="B25" s="1145">
        <v>30.58</v>
      </c>
      <c r="C25" s="1140" t="s">
        <v>696</v>
      </c>
      <c r="D25" s="1140" t="s">
        <v>697</v>
      </c>
      <c r="F25" s="1139" t="s">
        <v>291</v>
      </c>
    </row>
    <row r="26" spans="1:21" x14ac:dyDescent="0.2">
      <c r="B26" s="1146">
        <v>32</v>
      </c>
      <c r="C26" s="1143" t="s">
        <v>716</v>
      </c>
      <c r="D26" s="1143" t="s">
        <v>698</v>
      </c>
      <c r="F26" s="235" t="s">
        <v>882</v>
      </c>
    </row>
    <row r="27" spans="1:21" x14ac:dyDescent="0.2">
      <c r="B27" s="1146">
        <v>33.68</v>
      </c>
      <c r="C27" s="1143" t="s">
        <v>699</v>
      </c>
      <c r="D27" s="1143" t="s">
        <v>700</v>
      </c>
    </row>
    <row r="28" spans="1:21" ht="13.5" thickBot="1" x14ac:dyDescent="0.25">
      <c r="B28" s="1146">
        <v>35.270000000000003</v>
      </c>
      <c r="C28" s="1143" t="s">
        <v>701</v>
      </c>
      <c r="D28" s="1143" t="s">
        <v>702</v>
      </c>
      <c r="H28" s="1160" t="s">
        <v>892</v>
      </c>
    </row>
    <row r="29" spans="1:21" ht="14.25" thickTop="1" thickBot="1" x14ac:dyDescent="0.25">
      <c r="B29" s="1146">
        <v>36.869999999999997</v>
      </c>
      <c r="C29" s="1143" t="s">
        <v>703</v>
      </c>
      <c r="D29" s="1143" t="s">
        <v>704</v>
      </c>
      <c r="F29" s="1113" t="s">
        <v>891</v>
      </c>
      <c r="H29" s="1165">
        <f>IF(J32=0," ",IF(H37=0," ",IF(H37&gt;0,R32,IF(J32&gt;0,R32))))</f>
        <v>107.48023074035522</v>
      </c>
    </row>
    <row r="30" spans="1:21" ht="14.25" thickTop="1" thickBot="1" x14ac:dyDescent="0.25">
      <c r="B30" s="1146">
        <v>38.479999999999997</v>
      </c>
      <c r="C30" s="1143" t="s">
        <v>705</v>
      </c>
      <c r="D30" s="1143" t="s">
        <v>706</v>
      </c>
      <c r="F30" s="1165">
        <f>IF(H37=0," ",IF(J32=0," ",IF(H37&gt;0,+U32)))</f>
        <v>45</v>
      </c>
    </row>
    <row r="31" spans="1:21" ht="14.25" thickTop="1" thickBot="1" x14ac:dyDescent="0.25">
      <c r="B31" s="1146">
        <v>40</v>
      </c>
      <c r="C31" s="1143" t="s">
        <v>707</v>
      </c>
      <c r="D31" s="1143" t="s">
        <v>708</v>
      </c>
      <c r="J31" s="398" t="s">
        <v>1844</v>
      </c>
      <c r="O31" s="1118" t="s">
        <v>33</v>
      </c>
      <c r="P31" s="1119" t="s">
        <v>31</v>
      </c>
      <c r="Q31" s="1120"/>
      <c r="R31" s="1118" t="s">
        <v>32</v>
      </c>
      <c r="S31" s="687" t="s">
        <v>1872</v>
      </c>
      <c r="T31" s="687" t="s">
        <v>1873</v>
      </c>
      <c r="U31" s="1121" t="s">
        <v>1779</v>
      </c>
    </row>
    <row r="32" spans="1:21" ht="14.25" thickTop="1" thickBot="1" x14ac:dyDescent="0.25">
      <c r="B32" s="1146">
        <v>41.73</v>
      </c>
      <c r="C32" s="1143" t="s">
        <v>709</v>
      </c>
      <c r="D32" s="1143" t="s">
        <v>710</v>
      </c>
      <c r="J32" s="1164">
        <v>76</v>
      </c>
      <c r="O32" s="1122">
        <f>H37</f>
        <v>76</v>
      </c>
      <c r="P32" s="1123">
        <f>J32</f>
        <v>76</v>
      </c>
      <c r="Q32" s="398" t="s">
        <v>37</v>
      </c>
      <c r="R32" s="1161">
        <f>SQRT(SUMSQ(O32)+SUMSQ(P32))</f>
        <v>107.48023074035522</v>
      </c>
      <c r="S32" s="688">
        <v>90</v>
      </c>
      <c r="T32" s="1162">
        <f>ATAN(O32/P32)*180/PI()</f>
        <v>45</v>
      </c>
      <c r="U32" s="1163">
        <f>ATAN(P32/O32)*180/PI()</f>
        <v>45</v>
      </c>
    </row>
    <row r="33" spans="1:8" ht="13.5" thickTop="1" x14ac:dyDescent="0.2">
      <c r="B33" s="1146">
        <v>43.37</v>
      </c>
      <c r="C33" s="1143" t="s">
        <v>711</v>
      </c>
      <c r="D33" s="1143" t="s">
        <v>712</v>
      </c>
    </row>
    <row r="34" spans="1:8" x14ac:dyDescent="0.2">
      <c r="B34" s="1146">
        <v>45</v>
      </c>
      <c r="C34" s="1143" t="s">
        <v>713</v>
      </c>
      <c r="D34" s="1143" t="s">
        <v>713</v>
      </c>
    </row>
    <row r="35" spans="1:8" x14ac:dyDescent="0.2">
      <c r="B35" s="1146">
        <v>46.63</v>
      </c>
      <c r="C35" s="1143" t="s">
        <v>712</v>
      </c>
      <c r="D35" s="1143" t="s">
        <v>711</v>
      </c>
    </row>
    <row r="36" spans="1:8" ht="13.5" thickBot="1" x14ac:dyDescent="0.25">
      <c r="B36" s="1146">
        <v>48</v>
      </c>
      <c r="C36" s="1143" t="s">
        <v>710</v>
      </c>
      <c r="D36" s="1143" t="s">
        <v>709</v>
      </c>
      <c r="H36" s="398" t="s">
        <v>1844</v>
      </c>
    </row>
    <row r="37" spans="1:8" ht="14.25" thickTop="1" thickBot="1" x14ac:dyDescent="0.25">
      <c r="B37" s="1147">
        <v>49.9</v>
      </c>
      <c r="C37" s="1144" t="s">
        <v>708</v>
      </c>
      <c r="D37" s="1144" t="s">
        <v>707</v>
      </c>
      <c r="H37" s="1164">
        <v>76</v>
      </c>
    </row>
    <row r="38" spans="1:8" ht="13.5" thickTop="1" x14ac:dyDescent="0.2"/>
    <row r="39" spans="1:8" x14ac:dyDescent="0.2">
      <c r="A39" s="17" t="s">
        <v>715</v>
      </c>
    </row>
    <row r="40" spans="1:8" x14ac:dyDescent="0.2">
      <c r="A40" t="s">
        <v>714</v>
      </c>
    </row>
  </sheetData>
  <sheetProtection password="CDD2" sheet="1" objects="1" scenarios="1"/>
  <pageMargins left="0.75" right="0.75" top="1" bottom="1" header="0.5" footer="0.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E24"/>
  <sheetViews>
    <sheetView zoomScale="66" workbookViewId="0">
      <selection sqref="A1:AE1"/>
    </sheetView>
  </sheetViews>
  <sheetFormatPr defaultRowHeight="12.75" x14ac:dyDescent="0.2"/>
  <cols>
    <col min="1" max="1" width="6.5703125" customWidth="1"/>
    <col min="2" max="2" width="7.28515625" customWidth="1"/>
    <col min="3" max="3" width="7.140625" customWidth="1"/>
    <col min="4" max="4" width="7.28515625" customWidth="1"/>
    <col min="5" max="6" width="6.42578125" customWidth="1"/>
    <col min="7" max="7" width="6.85546875" customWidth="1"/>
    <col min="8" max="8" width="6.42578125" customWidth="1"/>
    <col min="9" max="11" width="8" customWidth="1"/>
    <col min="12" max="12" width="6.140625" customWidth="1"/>
    <col min="13" max="13" width="7.5703125" customWidth="1"/>
    <col min="14" max="14" width="3.85546875" customWidth="1"/>
    <col min="15" max="16" width="6.140625" customWidth="1"/>
    <col min="17" max="17" width="6.85546875" customWidth="1"/>
    <col min="18" max="18" width="3.85546875" customWidth="1"/>
    <col min="19" max="19" width="7.140625" customWidth="1"/>
    <col min="20" max="22" width="6.85546875" customWidth="1"/>
    <col min="23" max="23" width="8.7109375" customWidth="1"/>
    <col min="24" max="24" width="8" customWidth="1"/>
    <col min="25" max="25" width="8.140625" customWidth="1"/>
    <col min="26" max="26" width="6.85546875" customWidth="1"/>
    <col min="27" max="27" width="7.85546875" customWidth="1"/>
    <col min="28" max="28" width="6.5703125" customWidth="1"/>
    <col min="29" max="29" width="5.7109375" customWidth="1"/>
    <col min="30" max="31" width="6.28515625" customWidth="1"/>
    <col min="32" max="38" width="7.7109375" customWidth="1"/>
  </cols>
  <sheetData>
    <row r="1" spans="1:31" ht="26.1" customHeight="1" thickTop="1" thickBot="1" x14ac:dyDescent="0.25">
      <c r="A1" s="1350" t="s">
        <v>803</v>
      </c>
      <c r="B1" s="1351"/>
      <c r="C1" s="1351"/>
      <c r="D1" s="1351"/>
      <c r="E1" s="1351"/>
      <c r="F1" s="1351"/>
      <c r="G1" s="1351"/>
      <c r="H1" s="1351"/>
      <c r="I1" s="1351"/>
      <c r="J1" s="1351"/>
      <c r="K1" s="1351"/>
      <c r="L1" s="1351"/>
      <c r="M1" s="1351"/>
      <c r="N1" s="1351"/>
      <c r="O1" s="1351"/>
      <c r="P1" s="1351"/>
      <c r="Q1" s="1351"/>
      <c r="R1" s="1351"/>
      <c r="S1" s="1351"/>
      <c r="T1" s="1351"/>
      <c r="U1" s="1351"/>
      <c r="V1" s="1351"/>
      <c r="W1" s="1351"/>
      <c r="X1" s="1351"/>
      <c r="Y1" s="1351"/>
      <c r="Z1" s="1351"/>
      <c r="AA1" s="1351"/>
      <c r="AB1" s="1351"/>
      <c r="AC1" s="1351"/>
      <c r="AD1" s="1351"/>
      <c r="AE1" s="1352"/>
    </row>
    <row r="2" spans="1:31" ht="221.25" customHeight="1" thickTop="1" thickBot="1" x14ac:dyDescent="0.25">
      <c r="A2" s="1313"/>
      <c r="B2" s="1314"/>
      <c r="C2" s="1314"/>
      <c r="D2" s="1314"/>
      <c r="E2" s="1314"/>
      <c r="F2" s="1314"/>
      <c r="G2" s="1314"/>
      <c r="H2" s="1314"/>
      <c r="I2" s="1314"/>
      <c r="J2" s="1314"/>
      <c r="K2" s="1314"/>
      <c r="L2" s="1314"/>
      <c r="M2" s="1314"/>
      <c r="N2" s="1314"/>
      <c r="O2" s="1314"/>
      <c r="P2" s="1314"/>
      <c r="Q2" s="1314"/>
      <c r="R2" s="1314"/>
      <c r="S2" s="1314"/>
      <c r="T2" s="1314"/>
      <c r="U2" s="1314"/>
      <c r="V2" s="1314"/>
      <c r="W2" s="1314"/>
      <c r="X2" s="1314"/>
      <c r="Y2" s="1314"/>
      <c r="Z2" s="1314"/>
      <c r="AA2" s="1314"/>
      <c r="AB2" s="1314"/>
      <c r="AC2" s="467"/>
      <c r="AD2" s="1251"/>
      <c r="AE2" s="468"/>
    </row>
    <row r="3" spans="1:31" ht="28.5" customHeight="1" thickBot="1" x14ac:dyDescent="0.25">
      <c r="A3" s="1315" t="s">
        <v>753</v>
      </c>
      <c r="B3" s="1315" t="s">
        <v>754</v>
      </c>
      <c r="C3" s="1315" t="s">
        <v>755</v>
      </c>
      <c r="D3" s="1315" t="s">
        <v>756</v>
      </c>
      <c r="E3" s="1315" t="s">
        <v>757</v>
      </c>
      <c r="F3" s="1315" t="s">
        <v>758</v>
      </c>
      <c r="G3" s="1315" t="s">
        <v>759</v>
      </c>
      <c r="H3" s="1315" t="s">
        <v>760</v>
      </c>
      <c r="I3" s="1315" t="s">
        <v>761</v>
      </c>
      <c r="J3" s="1315" t="s">
        <v>762</v>
      </c>
      <c r="K3" s="1315" t="s">
        <v>763</v>
      </c>
      <c r="L3" s="1333" t="s">
        <v>764</v>
      </c>
      <c r="M3" s="1333"/>
      <c r="N3" s="1333"/>
      <c r="O3" s="1315" t="s">
        <v>765</v>
      </c>
      <c r="P3" s="1333" t="s">
        <v>766</v>
      </c>
      <c r="Q3" s="1333"/>
      <c r="R3" s="1333"/>
      <c r="S3" s="1336" t="s">
        <v>767</v>
      </c>
      <c r="T3" s="1336" t="s">
        <v>768</v>
      </c>
      <c r="U3" s="1335" t="s">
        <v>769</v>
      </c>
      <c r="V3" s="1335"/>
      <c r="W3" s="1335"/>
      <c r="X3" s="1335"/>
      <c r="Y3" s="1335"/>
      <c r="Z3" s="1335"/>
      <c r="AA3" s="1335"/>
      <c r="AB3" s="1315" t="s">
        <v>753</v>
      </c>
      <c r="AC3" s="1317" t="s">
        <v>770</v>
      </c>
      <c r="AD3" s="1320" t="s">
        <v>771</v>
      </c>
      <c r="AE3" s="1321"/>
    </row>
    <row r="4" spans="1:31" ht="45" customHeight="1" thickBot="1" x14ac:dyDescent="0.25">
      <c r="A4" s="1316"/>
      <c r="B4" s="1316"/>
      <c r="C4" s="1316"/>
      <c r="D4" s="1316"/>
      <c r="E4" s="1316"/>
      <c r="F4" s="1316"/>
      <c r="G4" s="1316"/>
      <c r="H4" s="1316"/>
      <c r="I4" s="1316"/>
      <c r="J4" s="1316"/>
      <c r="K4" s="1316"/>
      <c r="L4" s="1334"/>
      <c r="M4" s="1334"/>
      <c r="N4" s="1334"/>
      <c r="O4" s="1316"/>
      <c r="P4" s="1334"/>
      <c r="Q4" s="1334"/>
      <c r="R4" s="1334"/>
      <c r="S4" s="1337"/>
      <c r="T4" s="1337"/>
      <c r="U4" s="1228" t="s">
        <v>772</v>
      </c>
      <c r="V4" s="1228" t="s">
        <v>773</v>
      </c>
      <c r="W4" s="1228" t="s">
        <v>804</v>
      </c>
      <c r="X4" s="1228" t="s">
        <v>805</v>
      </c>
      <c r="Y4" s="1228" t="s">
        <v>806</v>
      </c>
      <c r="Z4" s="1228" t="s">
        <v>807</v>
      </c>
      <c r="AA4" s="1228" t="s">
        <v>808</v>
      </c>
      <c r="AB4" s="1316"/>
      <c r="AC4" s="1318"/>
      <c r="AD4" s="1322" t="s">
        <v>779</v>
      </c>
      <c r="AE4" s="1322" t="s">
        <v>780</v>
      </c>
    </row>
    <row r="5" spans="1:31" ht="13.5" thickBot="1" x14ac:dyDescent="0.25">
      <c r="A5" s="1252"/>
      <c r="B5" s="1252"/>
      <c r="C5" s="1253" t="s">
        <v>1872</v>
      </c>
      <c r="D5" s="1253" t="s">
        <v>1873</v>
      </c>
      <c r="E5" s="1253" t="s">
        <v>1779</v>
      </c>
      <c r="F5" s="1253" t="s">
        <v>1769</v>
      </c>
      <c r="G5" s="1253" t="s">
        <v>1876</v>
      </c>
      <c r="H5" s="1253" t="s">
        <v>781</v>
      </c>
      <c r="I5" s="1253" t="s">
        <v>1877</v>
      </c>
      <c r="J5" s="1253" t="s">
        <v>1895</v>
      </c>
      <c r="K5" s="1253" t="s">
        <v>782</v>
      </c>
      <c r="L5" s="1253" t="s">
        <v>1874</v>
      </c>
      <c r="M5" s="1253" t="s">
        <v>783</v>
      </c>
      <c r="N5" s="1253" t="s">
        <v>1894</v>
      </c>
      <c r="O5" s="1253" t="s">
        <v>784</v>
      </c>
      <c r="P5" s="1253" t="s">
        <v>1921</v>
      </c>
      <c r="Q5" s="1253" t="s">
        <v>785</v>
      </c>
      <c r="R5" s="1253" t="s">
        <v>786</v>
      </c>
      <c r="S5" s="1253" t="s">
        <v>658</v>
      </c>
      <c r="T5" s="1253" t="s">
        <v>787</v>
      </c>
      <c r="U5" s="1253" t="s">
        <v>788</v>
      </c>
      <c r="V5" s="1253" t="s">
        <v>1768</v>
      </c>
      <c r="W5" s="1253" t="s">
        <v>1875</v>
      </c>
      <c r="X5" s="1253" t="s">
        <v>789</v>
      </c>
      <c r="Y5" s="1253" t="s">
        <v>790</v>
      </c>
      <c r="Z5" s="1253" t="s">
        <v>791</v>
      </c>
      <c r="AA5" s="1253" t="s">
        <v>792</v>
      </c>
      <c r="AB5" s="1252"/>
      <c r="AC5" s="1319"/>
      <c r="AD5" s="1323"/>
      <c r="AE5" s="1323"/>
    </row>
    <row r="6" spans="1:31" ht="15" customHeight="1" thickBot="1" x14ac:dyDescent="0.25">
      <c r="A6" s="1253" t="s">
        <v>119</v>
      </c>
      <c r="B6" s="1231">
        <v>1.3125</v>
      </c>
      <c r="C6" s="1232">
        <v>2.6875</v>
      </c>
      <c r="D6" s="1233">
        <v>4.875</v>
      </c>
      <c r="E6" s="1233" t="s">
        <v>793</v>
      </c>
      <c r="F6" s="1233">
        <v>1.5</v>
      </c>
      <c r="G6" s="1234">
        <v>2</v>
      </c>
      <c r="H6" s="1233">
        <v>1.5</v>
      </c>
      <c r="I6" s="1232">
        <v>4.1875</v>
      </c>
      <c r="J6" s="1232">
        <v>4.1875</v>
      </c>
      <c r="K6" s="1232">
        <v>3.5625</v>
      </c>
      <c r="L6" s="1250"/>
      <c r="M6" s="1250"/>
      <c r="N6" s="1234"/>
      <c r="O6" s="1250"/>
      <c r="P6" s="1250"/>
      <c r="Q6" s="1250"/>
      <c r="R6" s="1234"/>
      <c r="S6" s="1250"/>
      <c r="T6" s="1250"/>
      <c r="U6" s="1233">
        <v>8.5</v>
      </c>
      <c r="V6" s="1233"/>
      <c r="W6" s="1233">
        <v>3.125</v>
      </c>
      <c r="X6" s="1232"/>
      <c r="Y6" s="1232"/>
      <c r="Z6" s="1232"/>
      <c r="AA6" s="1234">
        <v>9</v>
      </c>
      <c r="AB6" s="1253" t="s">
        <v>119</v>
      </c>
      <c r="AC6" s="1235">
        <v>4</v>
      </c>
      <c r="AD6" s="1236">
        <v>0.625</v>
      </c>
      <c r="AE6" s="1236">
        <v>3.75</v>
      </c>
    </row>
    <row r="7" spans="1:31" ht="15" customHeight="1" thickBot="1" x14ac:dyDescent="0.25">
      <c r="A7" s="1253" t="s">
        <v>794</v>
      </c>
      <c r="B7" s="1237">
        <v>1.875</v>
      </c>
      <c r="C7" s="1238">
        <v>3</v>
      </c>
      <c r="D7" s="1238">
        <v>6.125</v>
      </c>
      <c r="E7" s="1238">
        <v>1.125</v>
      </c>
      <c r="F7" s="1238">
        <v>2.25</v>
      </c>
      <c r="G7" s="1238">
        <v>2.5</v>
      </c>
      <c r="H7" s="1238">
        <v>1.5</v>
      </c>
      <c r="I7" s="1238">
        <v>5.25</v>
      </c>
      <c r="J7" s="1238">
        <v>5.25</v>
      </c>
      <c r="K7" s="1238">
        <v>4.125</v>
      </c>
      <c r="L7" s="1238"/>
      <c r="M7" s="1238"/>
      <c r="N7" s="1239"/>
      <c r="O7" s="1238">
        <v>9.5</v>
      </c>
      <c r="P7" s="1238"/>
      <c r="Q7" s="1238"/>
      <c r="R7" s="1239"/>
      <c r="S7" s="1238"/>
      <c r="T7" s="1238"/>
      <c r="U7" s="1238">
        <v>9.5</v>
      </c>
      <c r="V7" s="1238"/>
      <c r="W7" s="1238">
        <v>4.75</v>
      </c>
      <c r="X7" s="157"/>
      <c r="Y7" s="157"/>
      <c r="Z7" s="157"/>
      <c r="AA7" s="1239">
        <v>15</v>
      </c>
      <c r="AB7" s="1253" t="s">
        <v>794</v>
      </c>
      <c r="AC7" s="1240">
        <v>4</v>
      </c>
      <c r="AD7" s="1241">
        <v>0.75</v>
      </c>
      <c r="AE7" s="1241">
        <v>4.25</v>
      </c>
    </row>
    <row r="8" spans="1:31" ht="15" customHeight="1" thickBot="1" x14ac:dyDescent="0.25">
      <c r="A8" s="1253" t="s">
        <v>189</v>
      </c>
      <c r="B8" s="1242">
        <v>2.375</v>
      </c>
      <c r="C8" s="1243">
        <v>3.125</v>
      </c>
      <c r="D8" s="1243">
        <v>6.5</v>
      </c>
      <c r="E8" s="1243">
        <v>1.375</v>
      </c>
      <c r="F8" s="1243">
        <v>2.5</v>
      </c>
      <c r="G8" s="1243">
        <v>3</v>
      </c>
      <c r="H8" s="1243">
        <v>1.5</v>
      </c>
      <c r="I8" s="1243">
        <v>6.125</v>
      </c>
      <c r="J8" s="1243">
        <v>5.625</v>
      </c>
      <c r="K8" s="1243">
        <v>4.5</v>
      </c>
      <c r="L8" s="1243">
        <v>11.5</v>
      </c>
      <c r="M8" s="1243">
        <v>18.25</v>
      </c>
      <c r="N8" s="1244">
        <v>8</v>
      </c>
      <c r="O8" s="1243">
        <v>11.5</v>
      </c>
      <c r="P8" s="1243">
        <v>11.5</v>
      </c>
      <c r="Q8" s="1244">
        <v>19</v>
      </c>
      <c r="R8" s="1244">
        <v>10</v>
      </c>
      <c r="S8" s="1243"/>
      <c r="T8" s="1243">
        <v>2.375</v>
      </c>
      <c r="U8" s="1243">
        <v>11.5</v>
      </c>
      <c r="V8" s="1243">
        <v>11.5</v>
      </c>
      <c r="W8" s="2">
        <v>5.8125</v>
      </c>
      <c r="X8" s="2"/>
      <c r="Y8" s="2"/>
      <c r="Z8" s="2"/>
      <c r="AA8" s="1244">
        <v>23</v>
      </c>
      <c r="AB8" s="1253" t="s">
        <v>189</v>
      </c>
      <c r="AC8" s="1245">
        <v>8</v>
      </c>
      <c r="AD8" s="1246">
        <v>0.625</v>
      </c>
      <c r="AE8" s="1246">
        <v>4.25</v>
      </c>
    </row>
    <row r="9" spans="1:31" ht="15" customHeight="1" thickBot="1" x14ac:dyDescent="0.25">
      <c r="A9" s="1253" t="s">
        <v>795</v>
      </c>
      <c r="B9" s="1237">
        <v>2.875</v>
      </c>
      <c r="C9" s="1238">
        <v>3.375</v>
      </c>
      <c r="D9" s="1238">
        <v>7.5</v>
      </c>
      <c r="E9" s="1238">
        <v>1.75</v>
      </c>
      <c r="F9" s="1238">
        <v>3</v>
      </c>
      <c r="G9" s="1238">
        <v>3.5</v>
      </c>
      <c r="H9" s="1238">
        <v>1.5</v>
      </c>
      <c r="I9" s="1238">
        <v>7.125</v>
      </c>
      <c r="J9" s="1238">
        <v>6.375</v>
      </c>
      <c r="K9" s="1238">
        <v>5.125</v>
      </c>
      <c r="L9" s="1239">
        <v>13</v>
      </c>
      <c r="M9" s="1238">
        <v>22.25</v>
      </c>
      <c r="N9" s="1239">
        <v>9</v>
      </c>
      <c r="O9" s="1239">
        <v>13</v>
      </c>
      <c r="P9" s="1239">
        <v>13</v>
      </c>
      <c r="Q9" s="1238">
        <v>21.25</v>
      </c>
      <c r="R9" s="1239">
        <v>12</v>
      </c>
      <c r="S9" s="1238"/>
      <c r="T9" s="1238">
        <v>2.625</v>
      </c>
      <c r="U9" s="1238"/>
      <c r="V9" s="1238"/>
      <c r="W9" s="157"/>
      <c r="X9" s="157"/>
      <c r="Y9" s="157"/>
      <c r="Z9" s="157"/>
      <c r="AA9" s="1239"/>
      <c r="AB9" s="1253" t="s">
        <v>795</v>
      </c>
      <c r="AC9" s="1240">
        <v>8</v>
      </c>
      <c r="AD9" s="1241">
        <v>0.75</v>
      </c>
      <c r="AE9" s="1241">
        <v>4.75</v>
      </c>
    </row>
    <row r="10" spans="1:31" ht="15" customHeight="1" thickBot="1" x14ac:dyDescent="0.25">
      <c r="A10" s="1253" t="s">
        <v>241</v>
      </c>
      <c r="B10" s="1242">
        <v>3.5</v>
      </c>
      <c r="C10" s="1243">
        <v>3.5</v>
      </c>
      <c r="D10" s="1243">
        <v>8.25</v>
      </c>
      <c r="E10" s="1243">
        <v>2</v>
      </c>
      <c r="F10" s="1243">
        <v>3.375</v>
      </c>
      <c r="G10" s="1243">
        <v>3.5</v>
      </c>
      <c r="H10" s="1243">
        <v>2</v>
      </c>
      <c r="I10" s="1243">
        <v>8</v>
      </c>
      <c r="J10" s="1243">
        <v>6.875</v>
      </c>
      <c r="K10" s="1243">
        <v>5.5</v>
      </c>
      <c r="L10" s="1244">
        <v>14</v>
      </c>
      <c r="M10" s="1243">
        <v>25.75</v>
      </c>
      <c r="N10" s="1244">
        <v>10</v>
      </c>
      <c r="O10" s="1244">
        <v>14</v>
      </c>
      <c r="P10" s="1244">
        <v>14</v>
      </c>
      <c r="Q10" s="1243">
        <v>23.5</v>
      </c>
      <c r="R10" s="1244">
        <v>12</v>
      </c>
      <c r="S10" s="2">
        <v>1.8125</v>
      </c>
      <c r="T10" s="1243">
        <v>2.875</v>
      </c>
      <c r="U10" s="1243">
        <v>14</v>
      </c>
      <c r="V10" s="1243">
        <v>14</v>
      </c>
      <c r="W10" s="2">
        <v>7.0625</v>
      </c>
      <c r="X10" s="2">
        <v>3.125</v>
      </c>
      <c r="Y10" s="2">
        <v>10.0625</v>
      </c>
      <c r="Z10" s="1243">
        <v>17.125</v>
      </c>
      <c r="AA10" s="1244">
        <v>33</v>
      </c>
      <c r="AB10" s="1253" t="s">
        <v>241</v>
      </c>
      <c r="AC10" s="1245">
        <v>8</v>
      </c>
      <c r="AD10" s="1246">
        <v>0.75</v>
      </c>
      <c r="AE10" s="1246">
        <v>5</v>
      </c>
    </row>
    <row r="11" spans="1:31" ht="15" customHeight="1" thickBot="1" x14ac:dyDescent="0.25">
      <c r="A11" s="1253" t="s">
        <v>253</v>
      </c>
      <c r="B11" s="1237">
        <v>4.5</v>
      </c>
      <c r="C11" s="1238">
        <v>4.25</v>
      </c>
      <c r="D11" s="1238">
        <v>10.75</v>
      </c>
      <c r="E11" s="1238">
        <v>2.5</v>
      </c>
      <c r="F11" s="1238">
        <v>4.125</v>
      </c>
      <c r="G11" s="1238">
        <v>4</v>
      </c>
      <c r="H11" s="1238">
        <v>2.5</v>
      </c>
      <c r="I11" s="1238">
        <v>10.25</v>
      </c>
      <c r="J11" s="1238">
        <v>8.375</v>
      </c>
      <c r="K11" s="1238">
        <v>6.75</v>
      </c>
      <c r="L11" s="1239">
        <v>17</v>
      </c>
      <c r="M11" s="1238">
        <v>31.5</v>
      </c>
      <c r="N11" s="1239">
        <v>14</v>
      </c>
      <c r="O11" s="1239">
        <v>17</v>
      </c>
      <c r="P11" s="1239">
        <v>17</v>
      </c>
      <c r="Q11" s="1238">
        <v>27.5</v>
      </c>
      <c r="R11" s="1239">
        <v>18</v>
      </c>
      <c r="S11" s="1238">
        <v>2.375</v>
      </c>
      <c r="T11" s="1238">
        <v>3.125</v>
      </c>
      <c r="U11" s="1238">
        <v>17</v>
      </c>
      <c r="V11" s="1238">
        <v>17</v>
      </c>
      <c r="W11" s="1238">
        <v>8</v>
      </c>
      <c r="X11" s="157">
        <v>3.125</v>
      </c>
      <c r="Y11" s="1238">
        <v>10.625</v>
      </c>
      <c r="Z11" s="1238">
        <v>17.125</v>
      </c>
      <c r="AA11" s="1239">
        <v>44</v>
      </c>
      <c r="AB11" s="1253" t="s">
        <v>253</v>
      </c>
      <c r="AC11" s="1240">
        <v>8</v>
      </c>
      <c r="AD11" s="1241">
        <v>0.875</v>
      </c>
      <c r="AE11" s="1241">
        <v>5.75</v>
      </c>
    </row>
    <row r="12" spans="1:31" ht="15" customHeight="1" thickBot="1" x14ac:dyDescent="0.25">
      <c r="A12" s="1253" t="s">
        <v>254</v>
      </c>
      <c r="B12" s="1242">
        <v>6.625</v>
      </c>
      <c r="C12" s="1243">
        <v>4.875</v>
      </c>
      <c r="D12" s="1243">
        <v>14</v>
      </c>
      <c r="E12" s="1243">
        <v>3.75</v>
      </c>
      <c r="F12" s="1243">
        <v>5.625</v>
      </c>
      <c r="G12" s="1243">
        <v>5.5</v>
      </c>
      <c r="H12" s="1243">
        <v>3.5</v>
      </c>
      <c r="I12" s="1243">
        <v>13.875</v>
      </c>
      <c r="J12" s="1243">
        <v>10.5</v>
      </c>
      <c r="K12" s="1243">
        <v>8.625</v>
      </c>
      <c r="L12" s="1244">
        <v>22</v>
      </c>
      <c r="M12" s="1243">
        <v>42.75</v>
      </c>
      <c r="N12" s="1244">
        <v>20</v>
      </c>
      <c r="O12" s="1244">
        <v>22</v>
      </c>
      <c r="P12" s="1244">
        <v>22</v>
      </c>
      <c r="Q12" s="1244">
        <v>35</v>
      </c>
      <c r="R12" s="1244">
        <v>24</v>
      </c>
      <c r="S12" s="1243">
        <v>2.875</v>
      </c>
      <c r="T12" s="1243">
        <v>5.375</v>
      </c>
      <c r="U12" s="1243">
        <v>22</v>
      </c>
      <c r="V12" s="1243">
        <v>22</v>
      </c>
      <c r="W12" s="2">
        <v>10.8125</v>
      </c>
      <c r="X12" s="2">
        <v>5</v>
      </c>
      <c r="Y12" s="2">
        <v>11.5</v>
      </c>
      <c r="Z12" s="1243">
        <v>24</v>
      </c>
      <c r="AA12" s="2"/>
      <c r="AB12" s="1253" t="s">
        <v>254</v>
      </c>
      <c r="AC12" s="1245">
        <v>12</v>
      </c>
      <c r="AD12" s="1246">
        <v>1</v>
      </c>
      <c r="AE12" s="1246">
        <v>6.75</v>
      </c>
    </row>
    <row r="13" spans="1:31" ht="15" customHeight="1" thickBot="1" x14ac:dyDescent="0.25">
      <c r="A13" s="1253" t="s">
        <v>278</v>
      </c>
      <c r="B13" s="1237">
        <v>8.625</v>
      </c>
      <c r="C13" s="1238">
        <v>5.5</v>
      </c>
      <c r="D13" s="1238">
        <v>16.5</v>
      </c>
      <c r="E13" s="1238">
        <v>5</v>
      </c>
      <c r="F13" s="1238">
        <v>7</v>
      </c>
      <c r="G13" s="1238">
        <v>6</v>
      </c>
      <c r="H13" s="1238">
        <v>4</v>
      </c>
      <c r="I13" s="1238">
        <v>17.5</v>
      </c>
      <c r="J13" s="1238">
        <v>12.5</v>
      </c>
      <c r="K13" s="1238">
        <v>10.5</v>
      </c>
      <c r="L13" s="1239">
        <v>26</v>
      </c>
      <c r="M13" s="1238">
        <v>52.25</v>
      </c>
      <c r="N13" s="1239">
        <v>24</v>
      </c>
      <c r="O13" s="1239">
        <v>26</v>
      </c>
      <c r="P13" s="1239"/>
      <c r="Q13" s="1238"/>
      <c r="R13" s="1239"/>
      <c r="S13" s="1238">
        <v>3.5</v>
      </c>
      <c r="T13" s="1238">
        <v>6.5</v>
      </c>
      <c r="U13" s="1238">
        <v>26</v>
      </c>
      <c r="V13" s="1238">
        <v>26</v>
      </c>
      <c r="W13" s="1238">
        <v>14</v>
      </c>
      <c r="X13" s="157">
        <v>3.6875</v>
      </c>
      <c r="Y13" s="157">
        <v>18.9375</v>
      </c>
      <c r="Z13" s="1238">
        <v>30.25</v>
      </c>
      <c r="AA13" s="157"/>
      <c r="AB13" s="1253" t="s">
        <v>278</v>
      </c>
      <c r="AC13" s="1240">
        <v>12</v>
      </c>
      <c r="AD13" s="1241">
        <v>1.125</v>
      </c>
      <c r="AE13" s="1241">
        <v>7.75</v>
      </c>
    </row>
    <row r="14" spans="1:31" ht="15" customHeight="1" thickBot="1" x14ac:dyDescent="0.25">
      <c r="A14" s="1253" t="s">
        <v>279</v>
      </c>
      <c r="B14" s="1242">
        <v>10.75</v>
      </c>
      <c r="C14" s="1243">
        <v>6.25</v>
      </c>
      <c r="D14" s="1243">
        <v>20</v>
      </c>
      <c r="E14" s="1243">
        <v>6.25</v>
      </c>
      <c r="F14" s="1243">
        <v>8.5</v>
      </c>
      <c r="G14" s="1243">
        <v>7</v>
      </c>
      <c r="H14" s="1243">
        <v>5</v>
      </c>
      <c r="I14" s="1243">
        <v>21.25</v>
      </c>
      <c r="J14" s="1243">
        <v>14.75</v>
      </c>
      <c r="K14" s="1243">
        <v>12.5</v>
      </c>
      <c r="L14" s="1244">
        <v>31</v>
      </c>
      <c r="M14" s="1243">
        <v>62.25</v>
      </c>
      <c r="N14" s="1244">
        <v>27</v>
      </c>
      <c r="O14" s="1244">
        <v>31</v>
      </c>
      <c r="P14" s="1244"/>
      <c r="Q14" s="1243"/>
      <c r="R14" s="1244"/>
      <c r="S14" s="1243">
        <v>4.5</v>
      </c>
      <c r="T14" s="1243">
        <v>8.375</v>
      </c>
      <c r="U14" s="1243">
        <v>31</v>
      </c>
      <c r="V14" s="1243">
        <v>31</v>
      </c>
      <c r="W14" s="1243">
        <v>15.5</v>
      </c>
      <c r="X14" s="2">
        <v>3.6875</v>
      </c>
      <c r="Y14" s="2">
        <v>18.9375</v>
      </c>
      <c r="Z14" s="1243">
        <v>30.25</v>
      </c>
      <c r="AA14" s="2"/>
      <c r="AB14" s="1253" t="s">
        <v>279</v>
      </c>
      <c r="AC14" s="1245">
        <v>16</v>
      </c>
      <c r="AD14" s="1246">
        <v>1.25</v>
      </c>
      <c r="AE14" s="1246">
        <v>8.5</v>
      </c>
    </row>
    <row r="15" spans="1:31" ht="15" customHeight="1" thickBot="1" x14ac:dyDescent="0.25">
      <c r="A15" s="1253" t="s">
        <v>280</v>
      </c>
      <c r="B15" s="1237">
        <v>12.75</v>
      </c>
      <c r="C15" s="1238">
        <v>6.375</v>
      </c>
      <c r="D15" s="1238">
        <v>22</v>
      </c>
      <c r="E15" s="1238">
        <v>7.5</v>
      </c>
      <c r="F15" s="1238">
        <v>10</v>
      </c>
      <c r="G15" s="1238">
        <v>8</v>
      </c>
      <c r="H15" s="1238">
        <v>6</v>
      </c>
      <c r="I15" s="1238">
        <v>24.375</v>
      </c>
      <c r="J15" s="1238">
        <v>16.375</v>
      </c>
      <c r="K15" s="1238">
        <v>13.875</v>
      </c>
      <c r="L15" s="1239">
        <v>33</v>
      </c>
      <c r="M15" s="1238">
        <v>70</v>
      </c>
      <c r="N15" s="1239">
        <v>27</v>
      </c>
      <c r="O15" s="1239">
        <v>33</v>
      </c>
      <c r="P15" s="1239"/>
      <c r="Q15" s="1238"/>
      <c r="R15" s="1239"/>
      <c r="S15" s="1238">
        <v>5.5</v>
      </c>
      <c r="T15" s="1239">
        <v>9</v>
      </c>
      <c r="U15" s="1238">
        <v>33</v>
      </c>
      <c r="V15" s="1238">
        <v>33</v>
      </c>
      <c r="W15" s="157">
        <v>17.4375</v>
      </c>
      <c r="X15" s="157">
        <v>3.6875</v>
      </c>
      <c r="Y15" s="157">
        <v>18.9375</v>
      </c>
      <c r="Z15" s="1238">
        <v>30.25</v>
      </c>
      <c r="AA15" s="157"/>
      <c r="AB15" s="1253" t="s">
        <v>280</v>
      </c>
      <c r="AC15" s="1240">
        <v>20</v>
      </c>
      <c r="AD15" s="1241">
        <v>1.25</v>
      </c>
      <c r="AE15" s="1241">
        <v>8.75</v>
      </c>
    </row>
    <row r="16" spans="1:31" ht="15" customHeight="1" thickBot="1" x14ac:dyDescent="0.25">
      <c r="A16" s="1253" t="s">
        <v>281</v>
      </c>
      <c r="B16" s="1242">
        <v>14</v>
      </c>
      <c r="C16" s="1243">
        <v>6.75</v>
      </c>
      <c r="D16" s="1243">
        <v>23.75</v>
      </c>
      <c r="E16" s="1243">
        <v>8.75</v>
      </c>
      <c r="F16" s="1243">
        <v>11</v>
      </c>
      <c r="G16" s="1243">
        <v>13</v>
      </c>
      <c r="H16" s="1243">
        <v>6.5</v>
      </c>
      <c r="I16" s="1243">
        <v>27.75</v>
      </c>
      <c r="J16" s="1243">
        <v>17.75</v>
      </c>
      <c r="K16" s="1243">
        <v>15.5</v>
      </c>
      <c r="L16" s="1244">
        <v>35</v>
      </c>
      <c r="M16" s="1243">
        <v>77.25</v>
      </c>
      <c r="N16" s="1244">
        <v>30</v>
      </c>
      <c r="O16" s="1244"/>
      <c r="P16" s="1244"/>
      <c r="Q16" s="1243"/>
      <c r="R16" s="1244"/>
      <c r="S16" s="1243">
        <v>6.25</v>
      </c>
      <c r="T16" s="1243">
        <v>10.75</v>
      </c>
      <c r="U16" s="1243">
        <v>35</v>
      </c>
      <c r="V16" s="1243">
        <v>35</v>
      </c>
      <c r="W16" s="2">
        <v>21.5</v>
      </c>
      <c r="X16" s="1243">
        <v>4.875</v>
      </c>
      <c r="Y16" s="1243">
        <v>21.5</v>
      </c>
      <c r="Z16" s="1243">
        <v>39</v>
      </c>
      <c r="AA16" s="2"/>
      <c r="AB16" s="1253" t="s">
        <v>281</v>
      </c>
      <c r="AC16" s="1245">
        <v>20</v>
      </c>
      <c r="AD16" s="1246">
        <v>1.375</v>
      </c>
      <c r="AE16" s="1246">
        <v>9.25</v>
      </c>
    </row>
    <row r="17" spans="1:31" ht="15" customHeight="1" thickBot="1" x14ac:dyDescent="0.25">
      <c r="A17" s="1253" t="s">
        <v>282</v>
      </c>
      <c r="B17" s="1237">
        <v>16</v>
      </c>
      <c r="C17" s="1238">
        <v>7.25</v>
      </c>
      <c r="D17" s="1238">
        <v>27</v>
      </c>
      <c r="E17" s="1238">
        <v>10</v>
      </c>
      <c r="F17" s="1238">
        <v>12</v>
      </c>
      <c r="G17" s="1238">
        <v>14</v>
      </c>
      <c r="H17" s="1238">
        <v>7</v>
      </c>
      <c r="I17" s="1238">
        <v>31.25</v>
      </c>
      <c r="J17" s="1238">
        <v>19.25</v>
      </c>
      <c r="K17" s="1238">
        <v>17.25</v>
      </c>
      <c r="L17" s="1239">
        <v>39</v>
      </c>
      <c r="M17" s="1238">
        <v>83.75</v>
      </c>
      <c r="N17" s="1239">
        <v>30</v>
      </c>
      <c r="O17" s="1239"/>
      <c r="P17" s="1239"/>
      <c r="Q17" s="1238"/>
      <c r="R17" s="1239"/>
      <c r="S17" s="1239">
        <v>7</v>
      </c>
      <c r="T17" s="1239">
        <v>12</v>
      </c>
      <c r="U17" s="1238">
        <v>39</v>
      </c>
      <c r="V17" s="1238">
        <v>39</v>
      </c>
      <c r="W17" s="157">
        <v>20.0625</v>
      </c>
      <c r="X17" s="1238">
        <v>4.875</v>
      </c>
      <c r="Y17" s="1238">
        <v>21.5</v>
      </c>
      <c r="Z17" s="1238">
        <v>39</v>
      </c>
      <c r="AA17" s="157"/>
      <c r="AB17" s="1253" t="s">
        <v>282</v>
      </c>
      <c r="AC17" s="1240">
        <v>20</v>
      </c>
      <c r="AD17" s="1241">
        <v>1.5</v>
      </c>
      <c r="AE17" s="1241">
        <v>10</v>
      </c>
    </row>
    <row r="18" spans="1:31" ht="15" customHeight="1" thickBot="1" x14ac:dyDescent="0.25">
      <c r="A18" s="1253" t="s">
        <v>283</v>
      </c>
      <c r="B18" s="1242">
        <v>18</v>
      </c>
      <c r="C18" s="1243">
        <v>7.5</v>
      </c>
      <c r="D18" s="1243">
        <v>29.25</v>
      </c>
      <c r="E18" s="1243">
        <v>11.25</v>
      </c>
      <c r="F18" s="1243">
        <v>13.5</v>
      </c>
      <c r="G18" s="1243">
        <v>15</v>
      </c>
      <c r="H18" s="1243">
        <v>8</v>
      </c>
      <c r="I18" s="1243">
        <v>34.5</v>
      </c>
      <c r="J18" s="1243">
        <v>21</v>
      </c>
      <c r="K18" s="1243">
        <v>18.75</v>
      </c>
      <c r="L18" s="1244">
        <v>43</v>
      </c>
      <c r="M18" s="1243">
        <v>93.75</v>
      </c>
      <c r="N18" s="1244">
        <v>36</v>
      </c>
      <c r="O18" s="1244"/>
      <c r="P18" s="1244"/>
      <c r="Q18" s="1243"/>
      <c r="R18" s="1244"/>
      <c r="S18" s="1243">
        <v>7.75</v>
      </c>
      <c r="T18" s="1243">
        <v>14.25</v>
      </c>
      <c r="U18" s="1243">
        <v>43</v>
      </c>
      <c r="V18" s="1243">
        <v>43</v>
      </c>
      <c r="W18" s="1243">
        <v>25.625</v>
      </c>
      <c r="X18" s="1243">
        <v>7.75</v>
      </c>
      <c r="Y18" s="1243">
        <v>28</v>
      </c>
      <c r="Z18" s="1243">
        <v>30.25</v>
      </c>
      <c r="AA18" s="2"/>
      <c r="AB18" s="1253" t="s">
        <v>283</v>
      </c>
      <c r="AC18" s="1245">
        <v>20</v>
      </c>
      <c r="AD18" s="1246">
        <v>1.625</v>
      </c>
      <c r="AE18" s="1246">
        <v>10.75</v>
      </c>
    </row>
    <row r="19" spans="1:31" ht="15" customHeight="1" thickBot="1" x14ac:dyDescent="0.25">
      <c r="A19" s="1253" t="s">
        <v>284</v>
      </c>
      <c r="B19" s="1237">
        <v>20</v>
      </c>
      <c r="C19" s="1238">
        <v>7.75</v>
      </c>
      <c r="D19" s="1238">
        <v>32</v>
      </c>
      <c r="E19" s="1238">
        <v>12.5</v>
      </c>
      <c r="F19" s="1238">
        <v>15</v>
      </c>
      <c r="G19" s="1238">
        <v>20</v>
      </c>
      <c r="H19" s="1238">
        <v>9</v>
      </c>
      <c r="I19" s="1238">
        <v>37.75</v>
      </c>
      <c r="J19" s="1238">
        <v>22.75</v>
      </c>
      <c r="K19" s="1238">
        <v>20.25</v>
      </c>
      <c r="L19" s="1239">
        <v>47</v>
      </c>
      <c r="M19" s="1238">
        <v>104.5</v>
      </c>
      <c r="N19" s="1239">
        <v>36</v>
      </c>
      <c r="O19" s="1239"/>
      <c r="P19" s="1239"/>
      <c r="Q19" s="1238"/>
      <c r="R19" s="1239"/>
      <c r="S19" s="1239">
        <v>9</v>
      </c>
      <c r="T19" s="1238">
        <v>14.5</v>
      </c>
      <c r="U19" s="1238">
        <v>47</v>
      </c>
      <c r="V19" s="1238">
        <v>47</v>
      </c>
      <c r="W19" s="1238">
        <v>27.375</v>
      </c>
      <c r="X19" s="1238">
        <v>7.75</v>
      </c>
      <c r="Y19" s="1238">
        <v>28</v>
      </c>
      <c r="Z19" s="1238">
        <v>30.25</v>
      </c>
      <c r="AA19" s="157"/>
      <c r="AB19" s="1253" t="s">
        <v>284</v>
      </c>
      <c r="AC19" s="1240">
        <v>24</v>
      </c>
      <c r="AD19" s="1241">
        <v>1.625</v>
      </c>
      <c r="AE19" s="1241">
        <v>11.5</v>
      </c>
    </row>
    <row r="20" spans="1:31" ht="15" customHeight="1" thickBot="1" x14ac:dyDescent="0.25">
      <c r="A20" s="1253" t="s">
        <v>285</v>
      </c>
      <c r="B20" s="1242">
        <v>24</v>
      </c>
      <c r="C20" s="1243">
        <v>8.25</v>
      </c>
      <c r="D20" s="1243">
        <v>37</v>
      </c>
      <c r="E20" s="1243">
        <v>15</v>
      </c>
      <c r="F20" s="1243">
        <v>17</v>
      </c>
      <c r="G20" s="1243">
        <v>20</v>
      </c>
      <c r="H20" s="1243">
        <v>10.5</v>
      </c>
      <c r="I20" s="1243">
        <v>44.25</v>
      </c>
      <c r="J20" s="1243">
        <v>25.25</v>
      </c>
      <c r="K20" s="1243">
        <v>23.25</v>
      </c>
      <c r="L20" s="1244">
        <v>55</v>
      </c>
      <c r="M20" s="1243">
        <v>126</v>
      </c>
      <c r="N20" s="1244">
        <v>42</v>
      </c>
      <c r="O20" s="1244"/>
      <c r="P20" s="1244"/>
      <c r="Q20" s="1243"/>
      <c r="R20" s="1244"/>
      <c r="S20" s="1244">
        <v>9</v>
      </c>
      <c r="T20" s="1243">
        <v>17.25</v>
      </c>
      <c r="U20" s="1243">
        <v>55</v>
      </c>
      <c r="V20" s="1243">
        <v>55</v>
      </c>
      <c r="W20" s="1243">
        <v>31.375</v>
      </c>
      <c r="X20" s="1243">
        <v>9.75</v>
      </c>
      <c r="Y20" s="1243">
        <v>30</v>
      </c>
      <c r="Z20" s="1243">
        <v>30.25</v>
      </c>
      <c r="AA20" s="2"/>
      <c r="AB20" s="1253" t="s">
        <v>285</v>
      </c>
      <c r="AC20" s="1245">
        <v>24</v>
      </c>
      <c r="AD20" s="1246">
        <v>1.875</v>
      </c>
      <c r="AE20" s="1246">
        <v>13</v>
      </c>
    </row>
    <row r="21" spans="1:31" x14ac:dyDescent="0.2">
      <c r="A21" t="s">
        <v>796</v>
      </c>
      <c r="E21" s="1341" t="s">
        <v>797</v>
      </c>
      <c r="F21" s="1342"/>
      <c r="G21" s="1343"/>
    </row>
    <row r="22" spans="1:31" x14ac:dyDescent="0.2">
      <c r="A22" t="s">
        <v>798</v>
      </c>
      <c r="E22" s="1327"/>
      <c r="F22" s="1328"/>
      <c r="G22" s="1329"/>
    </row>
    <row r="23" spans="1:31" x14ac:dyDescent="0.2">
      <c r="A23" s="1247" t="s">
        <v>799</v>
      </c>
      <c r="B23" s="1247"/>
      <c r="C23" s="1247"/>
      <c r="D23" s="1247"/>
      <c r="E23" s="1330"/>
      <c r="F23" s="1331"/>
      <c r="G23" s="1332"/>
    </row>
    <row r="24" spans="1:31" x14ac:dyDescent="0.2">
      <c r="A24" s="1247" t="s">
        <v>800</v>
      </c>
      <c r="B24" s="1247"/>
      <c r="C24" s="1247"/>
      <c r="D24" s="1247"/>
    </row>
  </sheetData>
  <mergeCells count="26">
    <mergeCell ref="E21:G21"/>
    <mergeCell ref="E22:G23"/>
    <mergeCell ref="A1:AE1"/>
    <mergeCell ref="A2:AB2"/>
    <mergeCell ref="A3:A4"/>
    <mergeCell ref="B3:B4"/>
    <mergeCell ref="C3:C4"/>
    <mergeCell ref="D3:D4"/>
    <mergeCell ref="E3:E4"/>
    <mergeCell ref="F3:F4"/>
    <mergeCell ref="AC3:AC5"/>
    <mergeCell ref="AD3:AE3"/>
    <mergeCell ref="AD4:AD5"/>
    <mergeCell ref="AE4:AE5"/>
    <mergeCell ref="S3:S4"/>
    <mergeCell ref="T3:T4"/>
    <mergeCell ref="U3:AA3"/>
    <mergeCell ref="AB3:AB4"/>
    <mergeCell ref="K3:K4"/>
    <mergeCell ref="L3:N4"/>
    <mergeCell ref="O3:O4"/>
    <mergeCell ref="P3:R4"/>
    <mergeCell ref="G3:G4"/>
    <mergeCell ref="H3:H4"/>
    <mergeCell ref="I3:I4"/>
    <mergeCell ref="J3:J4"/>
  </mergeCells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progId="AutoCAD-r13" shapeId="38913" r:id="rId3">
          <objectPr defaultSize="0" autoPict="0" r:id="rId4">
            <anchor moveWithCells="1">
              <from>
                <xdr:col>4</xdr:col>
                <xdr:colOff>295275</xdr:colOff>
                <xdr:row>1</xdr:row>
                <xdr:rowOff>28575</xdr:rowOff>
              </from>
              <to>
                <xdr:col>24</xdr:col>
                <xdr:colOff>504825</xdr:colOff>
                <xdr:row>1</xdr:row>
                <xdr:rowOff>2800350</xdr:rowOff>
              </to>
            </anchor>
          </objectPr>
        </oleObject>
      </mc:Choice>
      <mc:Fallback>
        <oleObject progId="AutoCAD-r13" shapeId="38913" r:id="rId3"/>
      </mc:Fallback>
    </mc:AlternateContent>
    <mc:AlternateContent xmlns:mc="http://schemas.openxmlformats.org/markup-compatibility/2006">
      <mc:Choice Requires="x14">
        <oleObject progId="AutoCAD-r13" shapeId="38914" r:id="rId5">
          <objectPr defaultSize="0" autoPict="0" r:id="rId6">
            <anchor moveWithCells="1">
              <from>
                <xdr:col>4</xdr:col>
                <xdr:colOff>219075</xdr:colOff>
                <xdr:row>1</xdr:row>
                <xdr:rowOff>28575</xdr:rowOff>
              </from>
              <to>
                <xdr:col>24</xdr:col>
                <xdr:colOff>428625</xdr:colOff>
                <xdr:row>1</xdr:row>
                <xdr:rowOff>2790825</xdr:rowOff>
              </to>
            </anchor>
          </objectPr>
        </oleObject>
      </mc:Choice>
      <mc:Fallback>
        <oleObject progId="AutoCAD-r13" shapeId="38914" r:id="rId5"/>
      </mc:Fallback>
    </mc:AlternateContent>
    <mc:AlternateContent xmlns:mc="http://schemas.openxmlformats.org/markup-compatibility/2006">
      <mc:Choice Requires="x14">
        <oleObject progId="AutoCAD-r13" shapeId="38915" r:id="rId7">
          <objectPr defaultSize="0" autoPict="0" r:id="rId4">
            <anchor moveWithCells="1">
              <from>
                <xdr:col>4</xdr:col>
                <xdr:colOff>295275</xdr:colOff>
                <xdr:row>1</xdr:row>
                <xdr:rowOff>28575</xdr:rowOff>
              </from>
              <to>
                <xdr:col>24</xdr:col>
                <xdr:colOff>514350</xdr:colOff>
                <xdr:row>1</xdr:row>
                <xdr:rowOff>2800350</xdr:rowOff>
              </to>
            </anchor>
          </objectPr>
        </oleObject>
      </mc:Choice>
      <mc:Fallback>
        <oleObject progId="AutoCAD-r13" shapeId="38915" r:id="rId7"/>
      </mc:Fallback>
    </mc:AlternateContent>
    <mc:AlternateContent xmlns:mc="http://schemas.openxmlformats.org/markup-compatibility/2006">
      <mc:Choice Requires="x14">
        <oleObject progId="AutoCAD-r13" shapeId="38916" r:id="rId8">
          <objectPr defaultSize="0" autoPict="0" r:id="rId6">
            <anchor moveWithCells="1">
              <from>
                <xdr:col>4</xdr:col>
                <xdr:colOff>219075</xdr:colOff>
                <xdr:row>1</xdr:row>
                <xdr:rowOff>28575</xdr:rowOff>
              </from>
              <to>
                <xdr:col>24</xdr:col>
                <xdr:colOff>428625</xdr:colOff>
                <xdr:row>1</xdr:row>
                <xdr:rowOff>2790825</xdr:rowOff>
              </to>
            </anchor>
          </objectPr>
        </oleObject>
      </mc:Choice>
      <mc:Fallback>
        <oleObject progId="AutoCAD-r13" shapeId="38916" r:id="rId8"/>
      </mc:Fallback>
    </mc:AlternateContent>
  </oleObjec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0"/>
  <sheetViews>
    <sheetView showGridLines="0" workbookViewId="0"/>
  </sheetViews>
  <sheetFormatPr defaultRowHeight="12.75" x14ac:dyDescent="0.2"/>
  <cols>
    <col min="1" max="1" width="8.42578125" customWidth="1"/>
    <col min="15" max="16" width="0" hidden="1" customWidth="1"/>
    <col min="17" max="17" width="1.85546875" hidden="1" customWidth="1"/>
    <col min="18" max="18" width="11.28515625" hidden="1" customWidth="1"/>
    <col min="19" max="19" width="9.5703125" hidden="1" customWidth="1"/>
    <col min="20" max="20" width="9.85546875" hidden="1" customWidth="1"/>
    <col min="21" max="21" width="0" hidden="1" customWidth="1"/>
  </cols>
  <sheetData>
    <row r="1" spans="1:13" x14ac:dyDescent="0.2">
      <c r="A1" s="1129"/>
      <c r="B1" s="1130">
        <f ca="1">NOW()</f>
        <v>42899.605034722219</v>
      </c>
    </row>
    <row r="2" spans="1:13" ht="18.75" x14ac:dyDescent="0.3">
      <c r="D2" s="273" t="s">
        <v>665</v>
      </c>
      <c r="H2" s="1112"/>
    </row>
    <row r="4" spans="1:13" x14ac:dyDescent="0.2">
      <c r="I4" s="874" t="s">
        <v>884</v>
      </c>
    </row>
    <row r="5" spans="1:13" x14ac:dyDescent="0.2">
      <c r="I5" s="192" t="s">
        <v>660</v>
      </c>
    </row>
    <row r="6" spans="1:13" x14ac:dyDescent="0.2">
      <c r="I6" s="874" t="s">
        <v>885</v>
      </c>
    </row>
    <row r="7" spans="1:13" x14ac:dyDescent="0.2">
      <c r="I7" s="192" t="s">
        <v>659</v>
      </c>
    </row>
    <row r="8" spans="1:13" ht="13.5" thickBot="1" x14ac:dyDescent="0.25">
      <c r="B8" s="28" t="s">
        <v>668</v>
      </c>
      <c r="I8" s="874" t="s">
        <v>886</v>
      </c>
    </row>
    <row r="9" spans="1:13" ht="14.25" thickTop="1" thickBot="1" x14ac:dyDescent="0.25">
      <c r="A9" s="1072" t="s">
        <v>1802</v>
      </c>
      <c r="B9" s="1114"/>
      <c r="I9" s="192" t="s">
        <v>661</v>
      </c>
    </row>
    <row r="10" spans="1:13" ht="14.25" thickTop="1" thickBot="1" x14ac:dyDescent="0.25">
      <c r="A10" s="1069" t="s">
        <v>1803</v>
      </c>
      <c r="B10" s="1115"/>
      <c r="I10" s="17" t="s">
        <v>887</v>
      </c>
    </row>
    <row r="11" spans="1:13" ht="13.5" thickTop="1" x14ac:dyDescent="0.2">
      <c r="I11" s="17"/>
    </row>
    <row r="12" spans="1:13" x14ac:dyDescent="0.2">
      <c r="I12" s="17" t="s">
        <v>888</v>
      </c>
    </row>
    <row r="13" spans="1:13" x14ac:dyDescent="0.2">
      <c r="I13" s="17"/>
    </row>
    <row r="14" spans="1:13" x14ac:dyDescent="0.2">
      <c r="I14" s="17" t="s">
        <v>889</v>
      </c>
    </row>
    <row r="15" spans="1:13" ht="13.5" thickBot="1" x14ac:dyDescent="0.25">
      <c r="B15" s="28" t="s">
        <v>666</v>
      </c>
      <c r="I15" s="17"/>
      <c r="L15" s="17"/>
      <c r="M15" s="398" t="s">
        <v>667</v>
      </c>
    </row>
    <row r="16" spans="1:13" ht="14.25" thickTop="1" thickBot="1" x14ac:dyDescent="0.25">
      <c r="A16" s="1072" t="s">
        <v>1802</v>
      </c>
      <c r="B16" s="1114"/>
      <c r="H16" s="28" t="s">
        <v>664</v>
      </c>
      <c r="J16" s="1003"/>
    </row>
    <row r="17" spans="1:21" ht="14.25" thickTop="1" thickBot="1" x14ac:dyDescent="0.25">
      <c r="A17" s="1069" t="s">
        <v>1803</v>
      </c>
      <c r="B17" s="1116"/>
      <c r="H17" s="1114"/>
      <c r="I17" s="874" t="s">
        <v>1802</v>
      </c>
      <c r="O17">
        <f>((H17+B16+B9)*2*3.14159265)/360</f>
        <v>0</v>
      </c>
    </row>
    <row r="18" spans="1:21" ht="14.25" thickTop="1" thickBot="1" x14ac:dyDescent="0.25">
      <c r="H18" s="1116"/>
      <c r="I18" s="793" t="s">
        <v>1803</v>
      </c>
      <c r="O18">
        <f>((H18+B17+B10)*2*3.14159265)/360</f>
        <v>0</v>
      </c>
    </row>
    <row r="19" spans="1:21" ht="13.5" thickTop="1" x14ac:dyDescent="0.2"/>
    <row r="20" spans="1:21" ht="13.5" thickBot="1" x14ac:dyDescent="0.25"/>
    <row r="21" spans="1:21" ht="13.5" thickTop="1" x14ac:dyDescent="0.2">
      <c r="O21" s="1118" t="s">
        <v>33</v>
      </c>
      <c r="P21" s="1119" t="s">
        <v>31</v>
      </c>
      <c r="Q21" s="1120"/>
      <c r="R21" s="1118" t="s">
        <v>32</v>
      </c>
      <c r="S21" s="687" t="s">
        <v>1872</v>
      </c>
      <c r="T21" s="687" t="s">
        <v>1873</v>
      </c>
      <c r="U21" s="1121" t="s">
        <v>1779</v>
      </c>
    </row>
    <row r="22" spans="1:21" ht="13.5" thickBot="1" x14ac:dyDescent="0.25">
      <c r="O22" s="1122">
        <f>B9+B16+H17</f>
        <v>0</v>
      </c>
      <c r="P22" s="1123">
        <v>36</v>
      </c>
      <c r="Q22" s="398"/>
      <c r="R22" s="1124">
        <f>SQRT(SUMSQ(O22)+SUMSQ(P22))</f>
        <v>36</v>
      </c>
      <c r="S22" s="688">
        <v>90</v>
      </c>
      <c r="T22" s="1125">
        <f>ATAN(O22/P22)*180/PI()</f>
        <v>0</v>
      </c>
      <c r="U22" s="1126" t="e">
        <f>ATAN(P22/O22)*180/PI()</f>
        <v>#DIV/0!</v>
      </c>
    </row>
    <row r="23" spans="1:21" ht="14.25" thickTop="1" thickBot="1" x14ac:dyDescent="0.25">
      <c r="O23" s="1120"/>
      <c r="P23" s="1120"/>
      <c r="Q23" s="1120"/>
      <c r="R23" s="1120"/>
      <c r="S23" s="1120"/>
      <c r="T23" s="1120"/>
      <c r="U23" s="1120"/>
    </row>
    <row r="24" spans="1:21" ht="14.25" thickTop="1" thickBot="1" x14ac:dyDescent="0.25">
      <c r="H24" s="28" t="s">
        <v>663</v>
      </c>
      <c r="O24" s="1118" t="s">
        <v>33</v>
      </c>
      <c r="P24" s="1119" t="s">
        <v>31</v>
      </c>
      <c r="Q24" s="1120"/>
      <c r="R24" s="1118" t="s">
        <v>32</v>
      </c>
      <c r="S24" s="687" t="s">
        <v>1872</v>
      </c>
      <c r="T24" s="687" t="s">
        <v>1873</v>
      </c>
      <c r="U24" s="1121" t="s">
        <v>1779</v>
      </c>
    </row>
    <row r="25" spans="1:21" ht="14.25" thickTop="1" thickBot="1" x14ac:dyDescent="0.25">
      <c r="H25" s="1127" t="str">
        <f>IF(B9=0," ",IF(B16=0," ",IF(H17=0," ",IF(B9&gt;0,72/O17))))</f>
        <v xml:space="preserve"> </v>
      </c>
      <c r="I25" s="874" t="s">
        <v>662</v>
      </c>
      <c r="O25" s="1122">
        <f>B10+B17+H18</f>
        <v>0</v>
      </c>
      <c r="P25" s="1123">
        <f>36*25.4</f>
        <v>914.4</v>
      </c>
      <c r="Q25" s="398"/>
      <c r="R25" s="1124">
        <f>SQRT(SUMSQ(O25)+SUMSQ(P25))</f>
        <v>914.4</v>
      </c>
      <c r="S25" s="688">
        <v>90</v>
      </c>
      <c r="T25" s="1125">
        <f>ATAN(O25/P25)*180/PI()</f>
        <v>0</v>
      </c>
      <c r="U25" s="1126" t="e">
        <f>ATAN(P25/O25)*180/PI()</f>
        <v>#DIV/0!</v>
      </c>
    </row>
    <row r="26" spans="1:21" ht="14.25" thickTop="1" thickBot="1" x14ac:dyDescent="0.25">
      <c r="H26" s="1128" t="str">
        <f>IF(B10=0," ",IF(B17=0," ",IF(H18=0," ",IF(B10&gt;0,1829/O18))))</f>
        <v xml:space="preserve"> </v>
      </c>
      <c r="I26" s="192" t="s">
        <v>662</v>
      </c>
    </row>
    <row r="27" spans="1:21" ht="14.25" thickTop="1" thickBot="1" x14ac:dyDescent="0.25">
      <c r="A27" s="1117" t="s">
        <v>663</v>
      </c>
    </row>
    <row r="28" spans="1:21" ht="14.25" thickTop="1" thickBot="1" x14ac:dyDescent="0.25">
      <c r="A28" s="1127" t="str">
        <f>IF(B9=0," ",IF(B16=0," ",IF(H17=0," ",IF(B9&gt;0,U22*2))))</f>
        <v xml:space="preserve"> </v>
      </c>
      <c r="B28" s="874" t="s">
        <v>662</v>
      </c>
    </row>
    <row r="29" spans="1:21" ht="14.25" thickTop="1" thickBot="1" x14ac:dyDescent="0.25">
      <c r="A29" s="1128" t="str">
        <f>IF(B10=0," ",IF(B17=0," ",IF(H18=0," ",IF(B10&gt;0,U25*2))))</f>
        <v xml:space="preserve"> </v>
      </c>
      <c r="B29" s="192" t="s">
        <v>662</v>
      </c>
    </row>
    <row r="30" spans="1:21" ht="13.5" thickTop="1" x14ac:dyDescent="0.2"/>
  </sheetData>
  <sheetProtection password="CDD2" sheet="1" objects="1" scenarios="1"/>
  <pageMargins left="0.75" right="0.75" top="1" bottom="1" header="0.5" footer="0.5"/>
  <pageSetup orientation="portrait" verticalDpi="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AC269"/>
  <sheetViews>
    <sheetView showGridLines="0" workbookViewId="0">
      <pane ySplit="10" topLeftCell="A151" activePane="bottomLeft" state="frozen"/>
      <selection pane="bottomLeft" activeCell="C6" sqref="C6"/>
    </sheetView>
  </sheetViews>
  <sheetFormatPr defaultRowHeight="12.75" x14ac:dyDescent="0.2"/>
  <cols>
    <col min="1" max="1" width="1.42578125" customWidth="1"/>
    <col min="2" max="2" width="10.7109375" customWidth="1"/>
    <col min="3" max="3" width="9" customWidth="1"/>
    <col min="5" max="5" width="8.7109375" customWidth="1"/>
    <col min="6" max="6" width="11.5703125" customWidth="1"/>
    <col min="7" max="7" width="11.85546875" customWidth="1"/>
    <col min="8" max="8" width="13.28515625" customWidth="1"/>
    <col min="9" max="9" width="11.85546875" customWidth="1"/>
    <col min="12" max="12" width="12" customWidth="1"/>
    <col min="13" max="13" width="8.140625" customWidth="1"/>
    <col min="15" max="15" width="9" hidden="1" customWidth="1"/>
    <col min="16" max="21" width="9.140625" hidden="1" customWidth="1"/>
    <col min="22" max="22" width="13.5703125" hidden="1" customWidth="1"/>
    <col min="23" max="23" width="3.7109375" hidden="1" customWidth="1"/>
    <col min="24" max="24" width="10.42578125" hidden="1" customWidth="1"/>
    <col min="25" max="25" width="10.28515625" hidden="1" customWidth="1"/>
    <col min="26" max="26" width="4" hidden="1" customWidth="1"/>
    <col min="27" max="27" width="6.140625" hidden="1" customWidth="1"/>
    <col min="28" max="29" width="9.140625" hidden="1" customWidth="1"/>
  </cols>
  <sheetData>
    <row r="1" spans="2:28" ht="16.5" thickBot="1" x14ac:dyDescent="0.3">
      <c r="B1" s="456" t="s">
        <v>1741</v>
      </c>
      <c r="O1" s="35" t="s">
        <v>1741</v>
      </c>
    </row>
    <row r="2" spans="2:28" ht="16.5" thickBot="1" x14ac:dyDescent="0.3">
      <c r="B2" s="60" t="s">
        <v>1556</v>
      </c>
      <c r="C2" s="60" t="s">
        <v>1482</v>
      </c>
      <c r="D2" s="110" t="s">
        <v>1484</v>
      </c>
      <c r="E2" s="401" t="s">
        <v>1484</v>
      </c>
      <c r="F2" s="110" t="s">
        <v>1817</v>
      </c>
      <c r="G2" s="402" t="s">
        <v>1799</v>
      </c>
      <c r="H2" s="110" t="s">
        <v>1801</v>
      </c>
      <c r="I2" s="110" t="s">
        <v>1817</v>
      </c>
      <c r="J2" s="1107" t="s">
        <v>655</v>
      </c>
      <c r="K2" s="1105"/>
      <c r="L2" s="1109">
        <f>L3/(0.5*O5)</f>
        <v>7.9168103826113709</v>
      </c>
      <c r="M2" s="1106"/>
      <c r="O2" s="60" t="s">
        <v>1556</v>
      </c>
      <c r="P2" s="60" t="s">
        <v>1482</v>
      </c>
      <c r="Q2" s="110" t="s">
        <v>1484</v>
      </c>
      <c r="R2" s="110" t="s">
        <v>1484</v>
      </c>
      <c r="S2" s="110" t="s">
        <v>1790</v>
      </c>
      <c r="T2" s="110" t="s">
        <v>1558</v>
      </c>
      <c r="U2" s="110" t="s">
        <v>1560</v>
      </c>
      <c r="V2" s="110" t="s">
        <v>1790</v>
      </c>
    </row>
    <row r="3" spans="2:28" ht="16.5" thickBot="1" x14ac:dyDescent="0.3">
      <c r="B3" s="399" t="s">
        <v>1802</v>
      </c>
      <c r="C3" s="399" t="s">
        <v>1802</v>
      </c>
      <c r="D3" s="400"/>
      <c r="E3" s="309"/>
      <c r="F3" s="400" t="s">
        <v>1818</v>
      </c>
      <c r="G3" s="404"/>
      <c r="H3" s="400"/>
      <c r="I3" s="400" t="s">
        <v>1818</v>
      </c>
      <c r="J3" s="1107" t="s">
        <v>656</v>
      </c>
      <c r="K3" s="1108"/>
      <c r="L3" s="1109">
        <f>(L4*L4)*AB5</f>
        <v>39.584051913056854</v>
      </c>
      <c r="M3" s="1106"/>
      <c r="O3" s="399"/>
      <c r="P3" s="399"/>
      <c r="Q3" s="400"/>
      <c r="R3" s="400"/>
      <c r="S3" s="400"/>
      <c r="T3" s="400"/>
      <c r="U3" s="400"/>
      <c r="V3" s="400"/>
    </row>
    <row r="4" spans="2:28" ht="16.5" thickBot="1" x14ac:dyDescent="0.3">
      <c r="B4" s="111" t="s">
        <v>1534</v>
      </c>
      <c r="C4" s="111" t="s">
        <v>1557</v>
      </c>
      <c r="D4" s="111" t="s">
        <v>1555</v>
      </c>
      <c r="E4" s="408" t="s">
        <v>1553</v>
      </c>
      <c r="F4" s="112" t="s">
        <v>1791</v>
      </c>
      <c r="G4" s="405" t="s">
        <v>1800</v>
      </c>
      <c r="H4" s="298" t="s">
        <v>1562</v>
      </c>
      <c r="I4" s="407" t="s">
        <v>1789</v>
      </c>
      <c r="J4" s="1107" t="s">
        <v>657</v>
      </c>
      <c r="K4" s="1108"/>
      <c r="L4" s="1109">
        <f>Y9</f>
        <v>3.4989575590452651</v>
      </c>
      <c r="M4" s="1106"/>
      <c r="O4" s="111" t="s">
        <v>1534</v>
      </c>
      <c r="P4" s="111" t="s">
        <v>1557</v>
      </c>
      <c r="Q4" s="111" t="s">
        <v>1555</v>
      </c>
      <c r="R4" s="111" t="s">
        <v>1553</v>
      </c>
      <c r="S4" s="112" t="s">
        <v>1791</v>
      </c>
      <c r="T4" s="298" t="s">
        <v>1561</v>
      </c>
      <c r="U4" s="298" t="s">
        <v>1562</v>
      </c>
      <c r="V4" s="112" t="s">
        <v>1789</v>
      </c>
      <c r="AB4" s="1103" t="s">
        <v>1818</v>
      </c>
    </row>
    <row r="5" spans="2:28" ht="16.5" thickBot="1" x14ac:dyDescent="0.3">
      <c r="B5" s="849">
        <v>10</v>
      </c>
      <c r="C5" s="850">
        <v>0.104</v>
      </c>
      <c r="D5" s="122">
        <f t="shared" ref="D5:I5" si="0">Q5</f>
        <v>11.002122563534442</v>
      </c>
      <c r="E5" s="403">
        <f t="shared" si="0"/>
        <v>16.372963209557966</v>
      </c>
      <c r="F5" s="113">
        <f t="shared" si="0"/>
        <v>2.6179938750000002</v>
      </c>
      <c r="G5" s="406">
        <f t="shared" si="0"/>
        <v>32.632833722711041</v>
      </c>
      <c r="H5" s="113">
        <f t="shared" si="0"/>
        <v>43.634956286245483</v>
      </c>
      <c r="I5" s="275">
        <f t="shared" si="0"/>
        <v>0.79796453431290626</v>
      </c>
      <c r="O5" s="109">
        <f>B5</f>
        <v>10</v>
      </c>
      <c r="P5" s="115">
        <f>C5</f>
        <v>0.104</v>
      </c>
      <c r="Q5" s="122">
        <f>AA7</f>
        <v>11.002122563534442</v>
      </c>
      <c r="R5" s="113">
        <f>Q5*3.2808399*0.4535924</f>
        <v>16.372963209557966</v>
      </c>
      <c r="S5" s="113">
        <f>(O5*3.14159265*12)/144</f>
        <v>2.6179938750000002</v>
      </c>
      <c r="T5" s="113">
        <f>(((Z5*Z5)*3.14159265*12)/1728)*62.4</f>
        <v>32.632833722711041</v>
      </c>
      <c r="U5" s="113">
        <f>T5+Q5</f>
        <v>43.634956286245483</v>
      </c>
      <c r="V5" s="275">
        <f>S5*0.09290304*3.2808399</f>
        <v>0.79796453431290626</v>
      </c>
      <c r="Y5">
        <f>Z5*2</f>
        <v>9.7919999999999998</v>
      </c>
      <c r="Z5">
        <f>O5/2-P5</f>
        <v>4.8959999999999999</v>
      </c>
      <c r="AA5">
        <f>(Z5*Z5*3.14159265)*12*0.28356481</f>
        <v>256.25141430485951</v>
      </c>
      <c r="AB5" s="1104">
        <f>(Z6*Z6*3.14159265)-(Z5*Z5*3.14159265)</f>
        <v>3.2332768898975957</v>
      </c>
    </row>
    <row r="6" spans="2:28" x14ac:dyDescent="0.2">
      <c r="B6" s="398" t="s">
        <v>1816</v>
      </c>
      <c r="C6" s="398" t="s">
        <v>1816</v>
      </c>
      <c r="O6" s="17" t="s">
        <v>1559</v>
      </c>
      <c r="Y6">
        <f>Y5*Y5</f>
        <v>95.883263999999997</v>
      </c>
      <c r="Z6">
        <f>O5/2</f>
        <v>5</v>
      </c>
      <c r="AA6">
        <f>(Z6*Z6*3.14159265)*12*0.28356481</f>
        <v>267.25353686839395</v>
      </c>
    </row>
    <row r="7" spans="2:28" ht="23.25" x14ac:dyDescent="0.35">
      <c r="B7" s="193" t="s">
        <v>1554</v>
      </c>
      <c r="E7" s="17" t="s">
        <v>1559</v>
      </c>
      <c r="Y7">
        <f>(O5*O5)+Y6</f>
        <v>195.883264</v>
      </c>
      <c r="AA7">
        <f>AA6-AA5</f>
        <v>11.002122563534442</v>
      </c>
    </row>
    <row r="8" spans="2:28" ht="13.5" thickBot="1" x14ac:dyDescent="0.25">
      <c r="Y8">
        <f>SQRT(Y7)</f>
        <v>13.99583023618106</v>
      </c>
    </row>
    <row r="9" spans="2:28" x14ac:dyDescent="0.2">
      <c r="B9" s="84" t="s">
        <v>1481</v>
      </c>
      <c r="C9" s="84" t="s">
        <v>1535</v>
      </c>
      <c r="D9" s="84" t="s">
        <v>1537</v>
      </c>
      <c r="E9" s="84" t="s">
        <v>1482</v>
      </c>
      <c r="F9" s="84" t="s">
        <v>1484</v>
      </c>
      <c r="G9" s="84" t="s">
        <v>1484</v>
      </c>
      <c r="I9" s="84" t="s">
        <v>1481</v>
      </c>
      <c r="J9" s="84" t="s">
        <v>1535</v>
      </c>
      <c r="K9" s="84" t="s">
        <v>1537</v>
      </c>
      <c r="L9" s="84" t="s">
        <v>1482</v>
      </c>
      <c r="M9" s="84" t="s">
        <v>1484</v>
      </c>
      <c r="N9" s="84" t="s">
        <v>1484</v>
      </c>
      <c r="X9" s="473" t="s">
        <v>658</v>
      </c>
      <c r="Y9">
        <f>Y8*0.25</f>
        <v>3.4989575590452651</v>
      </c>
      <c r="AA9">
        <f>AA6-AA5</f>
        <v>11.002122563534442</v>
      </c>
    </row>
    <row r="10" spans="2:28" ht="13.5" thickBot="1" x14ac:dyDescent="0.25">
      <c r="B10" s="85" t="s">
        <v>1533</v>
      </c>
      <c r="C10" s="85" t="s">
        <v>1536</v>
      </c>
      <c r="D10" s="85" t="s">
        <v>1538</v>
      </c>
      <c r="E10" s="85" t="s">
        <v>1539</v>
      </c>
      <c r="F10" s="85" t="s">
        <v>1552</v>
      </c>
      <c r="G10" s="85" t="s">
        <v>1553</v>
      </c>
      <c r="I10" s="85" t="s">
        <v>1533</v>
      </c>
      <c r="J10" s="85" t="s">
        <v>1536</v>
      </c>
      <c r="K10" s="85" t="s">
        <v>1538</v>
      </c>
      <c r="L10" s="85" t="s">
        <v>1539</v>
      </c>
      <c r="M10" s="85" t="s">
        <v>1552</v>
      </c>
      <c r="N10" s="85" t="s">
        <v>1553</v>
      </c>
    </row>
    <row r="11" spans="2:28" x14ac:dyDescent="0.2">
      <c r="B11" s="68">
        <v>0.125</v>
      </c>
      <c r="C11" s="73">
        <v>0.40500000000000003</v>
      </c>
      <c r="D11" s="74" t="s">
        <v>1542</v>
      </c>
      <c r="E11" s="73">
        <v>4.9000000000000002E-2</v>
      </c>
      <c r="F11" s="74">
        <v>0.186</v>
      </c>
      <c r="G11" s="106">
        <f>F11*3.2808399*0.4535924</f>
        <v>0.27679851223175739</v>
      </c>
      <c r="I11" s="87">
        <v>14</v>
      </c>
      <c r="J11" s="78">
        <v>14</v>
      </c>
      <c r="K11" s="76" t="s">
        <v>1549</v>
      </c>
      <c r="L11" s="78">
        <v>0.13400000000000001</v>
      </c>
      <c r="M11" s="104">
        <v>20</v>
      </c>
      <c r="N11" s="78">
        <f t="shared" ref="N11:N35" si="1">M11*3.2808399*0.4535924</f>
        <v>29.763280885135202</v>
      </c>
    </row>
    <row r="12" spans="2:28" x14ac:dyDescent="0.2">
      <c r="B12" s="90">
        <v>0.125</v>
      </c>
      <c r="C12" s="91">
        <v>0.40500000000000003</v>
      </c>
      <c r="D12" s="93" t="s">
        <v>1540</v>
      </c>
      <c r="E12" s="91">
        <v>6.8000000000000005E-2</v>
      </c>
      <c r="F12" s="92">
        <v>0.24399999999999999</v>
      </c>
      <c r="G12" s="78">
        <f>F12*3.2808399*0.4535924</f>
        <v>0.36311202679864946</v>
      </c>
      <c r="I12" s="87">
        <v>14</v>
      </c>
      <c r="J12" s="78">
        <v>14</v>
      </c>
      <c r="K12" s="76" t="s">
        <v>1547</v>
      </c>
      <c r="L12" s="78">
        <v>0.16400000000000001</v>
      </c>
      <c r="M12" s="104">
        <v>24</v>
      </c>
      <c r="N12" s="78">
        <f t="shared" si="1"/>
        <v>35.71593706216224</v>
      </c>
    </row>
    <row r="13" spans="2:28" x14ac:dyDescent="0.2">
      <c r="B13" s="69">
        <v>0.125</v>
      </c>
      <c r="C13" s="75">
        <v>0.40500000000000003</v>
      </c>
      <c r="D13" s="76" t="s">
        <v>1541</v>
      </c>
      <c r="E13" s="75">
        <v>9.5000000000000001E-2</v>
      </c>
      <c r="F13" s="77">
        <v>0.314</v>
      </c>
      <c r="G13" s="78">
        <f>F13*3.2808399*0.4535924</f>
        <v>0.46728350989662265</v>
      </c>
      <c r="I13" s="87">
        <v>14</v>
      </c>
      <c r="J13" s="78">
        <v>14</v>
      </c>
      <c r="K13" s="76" t="s">
        <v>1550</v>
      </c>
      <c r="L13" s="78">
        <v>0.19400000000000001</v>
      </c>
      <c r="M13" s="104">
        <v>29</v>
      </c>
      <c r="N13" s="78">
        <f t="shared" si="1"/>
        <v>43.156757283446041</v>
      </c>
    </row>
    <row r="14" spans="2:28" x14ac:dyDescent="0.2">
      <c r="B14" s="70"/>
      <c r="C14" s="71"/>
      <c r="D14" s="71"/>
      <c r="E14" s="71"/>
      <c r="F14" s="72"/>
      <c r="G14" s="86"/>
      <c r="I14" s="87">
        <v>14</v>
      </c>
      <c r="J14" s="78">
        <v>14</v>
      </c>
      <c r="K14" s="76" t="s">
        <v>1544</v>
      </c>
      <c r="L14" s="78">
        <v>0.21</v>
      </c>
      <c r="M14" s="104">
        <v>31</v>
      </c>
      <c r="N14" s="78">
        <f t="shared" si="1"/>
        <v>46.133085371959559</v>
      </c>
    </row>
    <row r="15" spans="2:28" x14ac:dyDescent="0.2">
      <c r="B15" s="69">
        <v>0.25</v>
      </c>
      <c r="C15" s="78">
        <v>0.54</v>
      </c>
      <c r="D15" s="82" t="s">
        <v>1542</v>
      </c>
      <c r="E15" s="82">
        <v>6.5000000000000002E-2</v>
      </c>
      <c r="F15" s="83">
        <v>0.33</v>
      </c>
      <c r="G15" s="78">
        <f>F15*3.2808399*0.4535924</f>
        <v>0.49109413460473089</v>
      </c>
      <c r="I15" s="87">
        <v>14</v>
      </c>
      <c r="J15" s="78">
        <v>14</v>
      </c>
      <c r="K15" s="76" t="s">
        <v>1544</v>
      </c>
      <c r="L15" s="78">
        <v>0.219</v>
      </c>
      <c r="M15" s="104">
        <v>32</v>
      </c>
      <c r="N15" s="78">
        <f t="shared" si="1"/>
        <v>47.621249416216322</v>
      </c>
    </row>
    <row r="16" spans="2:28" x14ac:dyDescent="0.2">
      <c r="B16" s="69">
        <v>0.25</v>
      </c>
      <c r="C16" s="78">
        <v>0.54</v>
      </c>
      <c r="D16" s="94" t="s">
        <v>1540</v>
      </c>
      <c r="E16" s="75">
        <v>8.7999999999999995E-2</v>
      </c>
      <c r="F16" s="77">
        <v>0.42399999999999999</v>
      </c>
      <c r="G16" s="78">
        <f>F16*3.2808399*0.4535924</f>
        <v>0.63098155476486617</v>
      </c>
      <c r="I16" s="87">
        <v>14</v>
      </c>
      <c r="J16" s="78">
        <v>14</v>
      </c>
      <c r="K16" s="76" t="s">
        <v>1551</v>
      </c>
      <c r="L16" s="78">
        <v>0.23899999999999999</v>
      </c>
      <c r="M16" s="104">
        <v>35</v>
      </c>
      <c r="N16" s="78">
        <f t="shared" si="1"/>
        <v>52.085741548986604</v>
      </c>
    </row>
    <row r="17" spans="2:14" x14ac:dyDescent="0.2">
      <c r="B17" s="69">
        <v>0.25</v>
      </c>
      <c r="C17" s="78">
        <v>0.54</v>
      </c>
      <c r="D17" s="76" t="s">
        <v>1541</v>
      </c>
      <c r="E17" s="75">
        <v>0.11899999999999999</v>
      </c>
      <c r="F17" s="77">
        <v>0.53500000000000003</v>
      </c>
      <c r="G17" s="78">
        <f>F17*3.2808399*0.4535924</f>
        <v>0.79616776367736664</v>
      </c>
      <c r="I17" s="87">
        <v>14</v>
      </c>
      <c r="J17" s="78">
        <v>14</v>
      </c>
      <c r="K17" s="76">
        <v>10</v>
      </c>
      <c r="L17" s="78">
        <v>0.25</v>
      </c>
      <c r="M17" s="104">
        <v>37</v>
      </c>
      <c r="N17" s="78">
        <f t="shared" si="1"/>
        <v>55.062069637500123</v>
      </c>
    </row>
    <row r="18" spans="2:14" x14ac:dyDescent="0.2">
      <c r="B18" s="70"/>
      <c r="C18" s="79"/>
      <c r="D18" s="79"/>
      <c r="E18" s="79"/>
      <c r="F18" s="81"/>
      <c r="G18" s="86"/>
      <c r="I18" s="87">
        <v>14</v>
      </c>
      <c r="J18" s="78">
        <v>14</v>
      </c>
      <c r="K18" s="76" t="s">
        <v>1544</v>
      </c>
      <c r="L18" s="78">
        <v>0.28100000000000003</v>
      </c>
      <c r="M18" s="104">
        <v>41</v>
      </c>
      <c r="N18" s="78">
        <f t="shared" si="1"/>
        <v>61.014725814527161</v>
      </c>
    </row>
    <row r="19" spans="2:14" x14ac:dyDescent="0.2">
      <c r="B19" s="69">
        <v>0.375</v>
      </c>
      <c r="C19" s="75">
        <v>0.67500000000000004</v>
      </c>
      <c r="D19" s="82" t="s">
        <v>1542</v>
      </c>
      <c r="E19" s="75">
        <v>6.5000000000000002E-2</v>
      </c>
      <c r="F19" s="77">
        <v>0.42299999999999999</v>
      </c>
      <c r="G19" s="78">
        <f>F19*3.2808399*0.4535924</f>
        <v>0.6294933907206095</v>
      </c>
      <c r="I19" s="87">
        <v>14</v>
      </c>
      <c r="J19" s="78">
        <v>14</v>
      </c>
      <c r="K19" s="76">
        <v>20</v>
      </c>
      <c r="L19" s="78">
        <v>0.312</v>
      </c>
      <c r="M19" s="104">
        <v>46</v>
      </c>
      <c r="N19" s="78">
        <f t="shared" si="1"/>
        <v>68.455546035810954</v>
      </c>
    </row>
    <row r="20" spans="2:14" x14ac:dyDescent="0.2">
      <c r="B20" s="69">
        <v>0.375</v>
      </c>
      <c r="C20" s="75">
        <v>0.67500000000000004</v>
      </c>
      <c r="D20" s="94" t="s">
        <v>1540</v>
      </c>
      <c r="E20" s="75">
        <v>9.0999999999999998E-2</v>
      </c>
      <c r="F20" s="77">
        <v>0.56699999999999995</v>
      </c>
      <c r="G20" s="107">
        <f>F20*3.2808399*0.4535924</f>
        <v>0.8437890130935829</v>
      </c>
      <c r="I20" s="87">
        <v>14</v>
      </c>
      <c r="J20" s="78">
        <v>14</v>
      </c>
      <c r="K20" s="76" t="s">
        <v>1544</v>
      </c>
      <c r="L20" s="78">
        <v>0.34399999999999997</v>
      </c>
      <c r="M20" s="104">
        <v>50</v>
      </c>
      <c r="N20" s="78">
        <f t="shared" si="1"/>
        <v>74.408202212838006</v>
      </c>
    </row>
    <row r="21" spans="2:14" x14ac:dyDescent="0.2">
      <c r="B21" s="69">
        <v>0.375</v>
      </c>
      <c r="C21" s="75">
        <v>0.67500000000000004</v>
      </c>
      <c r="D21" s="76" t="s">
        <v>1541</v>
      </c>
      <c r="E21" s="75">
        <v>0.126</v>
      </c>
      <c r="F21" s="77">
        <v>0.73799999999999999</v>
      </c>
      <c r="G21" s="78">
        <f>F21*3.2808399*0.4535924</f>
        <v>1.0982650646614889</v>
      </c>
      <c r="I21" s="87">
        <v>14</v>
      </c>
      <c r="J21" s="78">
        <v>14</v>
      </c>
      <c r="K21" s="94" t="s">
        <v>1540</v>
      </c>
      <c r="L21" s="78">
        <v>0.375</v>
      </c>
      <c r="M21" s="104">
        <v>55</v>
      </c>
      <c r="N21" s="78">
        <f t="shared" si="1"/>
        <v>81.849022434121807</v>
      </c>
    </row>
    <row r="22" spans="2:14" x14ac:dyDescent="0.2">
      <c r="B22" s="70"/>
      <c r="C22" s="79"/>
      <c r="D22" s="79"/>
      <c r="E22" s="79"/>
      <c r="F22" s="81"/>
      <c r="G22" s="86"/>
      <c r="I22" s="87">
        <v>14</v>
      </c>
      <c r="J22" s="78">
        <v>14</v>
      </c>
      <c r="K22" s="76">
        <v>40</v>
      </c>
      <c r="L22" s="78">
        <v>0.438</v>
      </c>
      <c r="M22" s="104">
        <v>63</v>
      </c>
      <c r="N22" s="78">
        <f t="shared" si="1"/>
        <v>93.754334788175896</v>
      </c>
    </row>
    <row r="23" spans="2:14" x14ac:dyDescent="0.2">
      <c r="B23" s="69">
        <v>0.5</v>
      </c>
      <c r="C23" s="78">
        <v>0.84</v>
      </c>
      <c r="D23" s="82" t="s">
        <v>1542</v>
      </c>
      <c r="E23" s="75">
        <v>8.3000000000000004E-2</v>
      </c>
      <c r="F23" s="83">
        <v>0.67100000000000004</v>
      </c>
      <c r="G23" s="78">
        <f>F23*3.2808399*0.4535924</f>
        <v>0.99855807369628602</v>
      </c>
      <c r="I23" s="87">
        <v>14</v>
      </c>
      <c r="J23" s="78">
        <v>14</v>
      </c>
      <c r="K23" s="76" t="s">
        <v>1541</v>
      </c>
      <c r="L23" s="78">
        <v>0.5</v>
      </c>
      <c r="M23" s="104">
        <v>72</v>
      </c>
      <c r="N23" s="78">
        <f t="shared" si="1"/>
        <v>107.14781118648672</v>
      </c>
    </row>
    <row r="24" spans="2:14" x14ac:dyDescent="0.2">
      <c r="B24" s="69">
        <v>0.5</v>
      </c>
      <c r="C24" s="78">
        <v>0.84</v>
      </c>
      <c r="D24" s="94" t="s">
        <v>1540</v>
      </c>
      <c r="E24" s="75">
        <v>0.109</v>
      </c>
      <c r="F24" s="83">
        <v>0.85</v>
      </c>
      <c r="G24" s="78">
        <f>F24*3.2808399*0.4535924</f>
        <v>1.2649394376182461</v>
      </c>
      <c r="I24" s="87">
        <v>14</v>
      </c>
      <c r="J24" s="78">
        <v>14</v>
      </c>
      <c r="K24" s="76">
        <v>60</v>
      </c>
      <c r="L24" s="78">
        <v>0.59399999999999997</v>
      </c>
      <c r="M24" s="104">
        <v>85</v>
      </c>
      <c r="N24" s="78">
        <f t="shared" si="1"/>
        <v>126.49394376182461</v>
      </c>
    </row>
    <row r="25" spans="2:14" x14ac:dyDescent="0.2">
      <c r="B25" s="69">
        <v>0.5</v>
      </c>
      <c r="C25" s="78">
        <v>0.84</v>
      </c>
      <c r="D25" s="76" t="s">
        <v>1541</v>
      </c>
      <c r="E25" s="75">
        <v>0.14699999999999999</v>
      </c>
      <c r="F25" s="83">
        <v>1.087</v>
      </c>
      <c r="G25" s="78">
        <f>F25*3.2808399*0.4535924</f>
        <v>1.6176343161070983</v>
      </c>
      <c r="I25" s="87">
        <v>14</v>
      </c>
      <c r="J25" s="78">
        <v>14</v>
      </c>
      <c r="K25" s="88" t="s">
        <v>1545</v>
      </c>
      <c r="L25" s="78">
        <v>0.625</v>
      </c>
      <c r="M25" s="104">
        <v>89</v>
      </c>
      <c r="N25" s="78">
        <f t="shared" si="1"/>
        <v>132.44659993885165</v>
      </c>
    </row>
    <row r="26" spans="2:14" x14ac:dyDescent="0.2">
      <c r="B26" s="69">
        <v>0.5</v>
      </c>
      <c r="C26" s="78">
        <v>0.84</v>
      </c>
      <c r="D26" s="76">
        <v>160</v>
      </c>
      <c r="E26" s="75">
        <v>0.13800000000000001</v>
      </c>
      <c r="F26" s="83">
        <v>1.31</v>
      </c>
      <c r="G26" s="78">
        <f>F26*3.2808399*0.4535924</f>
        <v>1.9494948979763558</v>
      </c>
      <c r="I26" s="87">
        <v>14</v>
      </c>
      <c r="J26" s="78">
        <v>14</v>
      </c>
      <c r="K26" s="76">
        <v>80</v>
      </c>
      <c r="L26" s="78">
        <v>0.75</v>
      </c>
      <c r="M26" s="104">
        <v>107</v>
      </c>
      <c r="N26" s="78">
        <f t="shared" si="1"/>
        <v>159.23355273547332</v>
      </c>
    </row>
    <row r="27" spans="2:14" x14ac:dyDescent="0.2">
      <c r="B27" s="69">
        <v>0.5</v>
      </c>
      <c r="C27" s="78">
        <v>0.84</v>
      </c>
      <c r="D27" s="76" t="s">
        <v>1543</v>
      </c>
      <c r="E27" s="75">
        <v>0.29399999999999998</v>
      </c>
      <c r="F27" s="83">
        <v>1.714</v>
      </c>
      <c r="G27" s="78">
        <f>F27*3.2808399*0.4535924</f>
        <v>2.5507131718560867</v>
      </c>
      <c r="I27" s="87">
        <v>14</v>
      </c>
      <c r="J27" s="78">
        <v>14</v>
      </c>
      <c r="K27" s="88" t="s">
        <v>1545</v>
      </c>
      <c r="L27" s="78">
        <v>0.875</v>
      </c>
      <c r="M27" s="104">
        <v>123</v>
      </c>
      <c r="N27" s="78">
        <f t="shared" si="1"/>
        <v>183.04417744358148</v>
      </c>
    </row>
    <row r="28" spans="2:14" x14ac:dyDescent="0.2">
      <c r="B28" s="70"/>
      <c r="C28" s="79"/>
      <c r="D28" s="80"/>
      <c r="E28" s="79"/>
      <c r="F28" s="86"/>
      <c r="G28" s="86"/>
      <c r="I28" s="87">
        <v>14</v>
      </c>
      <c r="J28" s="78">
        <v>14</v>
      </c>
      <c r="K28" s="76">
        <v>100</v>
      </c>
      <c r="L28" s="78">
        <v>0.93799999999999994</v>
      </c>
      <c r="M28" s="104">
        <v>131</v>
      </c>
      <c r="N28" s="78">
        <f t="shared" si="1"/>
        <v>194.94948979763558</v>
      </c>
    </row>
    <row r="29" spans="2:14" x14ac:dyDescent="0.2">
      <c r="B29" s="69">
        <v>0.75</v>
      </c>
      <c r="C29" s="78">
        <v>1.05</v>
      </c>
      <c r="D29" s="82" t="s">
        <v>1542</v>
      </c>
      <c r="E29" s="75">
        <v>8.3000000000000004E-2</v>
      </c>
      <c r="F29" s="83">
        <v>0.85699999999999998</v>
      </c>
      <c r="G29" s="78">
        <f>F29*3.2808399*0.4535924</f>
        <v>1.2753565859280434</v>
      </c>
      <c r="I29" s="87">
        <v>14</v>
      </c>
      <c r="J29" s="78">
        <v>14</v>
      </c>
      <c r="K29" s="88" t="s">
        <v>1545</v>
      </c>
      <c r="L29" s="78">
        <v>1</v>
      </c>
      <c r="M29" s="104">
        <v>139</v>
      </c>
      <c r="N29" s="78">
        <f t="shared" si="1"/>
        <v>206.85480215168965</v>
      </c>
    </row>
    <row r="30" spans="2:14" x14ac:dyDescent="0.2">
      <c r="B30" s="69">
        <v>0.75</v>
      </c>
      <c r="C30" s="78">
        <v>1.05</v>
      </c>
      <c r="D30" s="94" t="s">
        <v>1540</v>
      </c>
      <c r="E30" s="75">
        <v>0.113</v>
      </c>
      <c r="F30" s="83">
        <v>1.1299999999999999</v>
      </c>
      <c r="G30" s="78">
        <f>F30*3.2808399*0.4535924</f>
        <v>1.6816253700101387</v>
      </c>
      <c r="I30" s="87">
        <v>14</v>
      </c>
      <c r="J30" s="78">
        <v>14</v>
      </c>
      <c r="K30" s="76">
        <v>120</v>
      </c>
      <c r="L30" s="78">
        <v>1.0940000000000001</v>
      </c>
      <c r="M30" s="104">
        <v>151</v>
      </c>
      <c r="N30" s="78">
        <f t="shared" si="1"/>
        <v>224.71277068277075</v>
      </c>
    </row>
    <row r="31" spans="2:14" x14ac:dyDescent="0.2">
      <c r="B31" s="69">
        <v>0.75</v>
      </c>
      <c r="C31" s="78">
        <v>1.05</v>
      </c>
      <c r="D31" s="76" t="s">
        <v>1541</v>
      </c>
      <c r="E31" s="75">
        <v>0.154</v>
      </c>
      <c r="F31" s="83">
        <v>1.4730000000000001</v>
      </c>
      <c r="G31" s="78">
        <f>F31*3.2808399*0.4535924</f>
        <v>2.1920656371902076</v>
      </c>
      <c r="I31" s="87">
        <v>14</v>
      </c>
      <c r="J31" s="78">
        <v>14</v>
      </c>
      <c r="K31" s="88" t="s">
        <v>1545</v>
      </c>
      <c r="L31" s="78">
        <v>1.125</v>
      </c>
      <c r="M31" s="104">
        <v>155</v>
      </c>
      <c r="N31" s="78">
        <f t="shared" si="1"/>
        <v>230.6654268597978</v>
      </c>
    </row>
    <row r="32" spans="2:14" x14ac:dyDescent="0.2">
      <c r="B32" s="69">
        <v>0.75</v>
      </c>
      <c r="C32" s="78">
        <v>1.05</v>
      </c>
      <c r="D32" s="76">
        <v>160</v>
      </c>
      <c r="E32" s="78">
        <v>0.219</v>
      </c>
      <c r="F32" s="83">
        <v>1.94</v>
      </c>
      <c r="G32" s="78">
        <f>F32*3.2808399*0.4535924</f>
        <v>2.8870382458581143</v>
      </c>
      <c r="I32" s="87">
        <v>14</v>
      </c>
      <c r="J32" s="78">
        <v>14</v>
      </c>
      <c r="K32" s="76">
        <v>140</v>
      </c>
      <c r="L32" s="78">
        <v>1.25</v>
      </c>
      <c r="M32" s="104">
        <v>171</v>
      </c>
      <c r="N32" s="78">
        <f t="shared" si="1"/>
        <v>254.47605156790601</v>
      </c>
    </row>
    <row r="33" spans="2:14" x14ac:dyDescent="0.2">
      <c r="B33" s="69">
        <v>0.75</v>
      </c>
      <c r="C33" s="78">
        <v>1.05</v>
      </c>
      <c r="D33" s="76" t="s">
        <v>1543</v>
      </c>
      <c r="E33" s="75">
        <v>0.308</v>
      </c>
      <c r="F33" s="83">
        <v>2.44</v>
      </c>
      <c r="G33" s="78">
        <f>F33*3.2808399*0.4535924</f>
        <v>3.6311202679864945</v>
      </c>
      <c r="I33" s="87">
        <v>14</v>
      </c>
      <c r="J33" s="78">
        <v>14</v>
      </c>
      <c r="K33" s="88" t="s">
        <v>1545</v>
      </c>
      <c r="L33" s="78">
        <v>1.375</v>
      </c>
      <c r="M33" s="104">
        <v>186</v>
      </c>
      <c r="N33" s="78">
        <f t="shared" si="1"/>
        <v>276.79851223175734</v>
      </c>
    </row>
    <row r="34" spans="2:14" x14ac:dyDescent="0.2">
      <c r="B34" s="70"/>
      <c r="C34" s="79"/>
      <c r="D34" s="80"/>
      <c r="E34" s="79"/>
      <c r="F34" s="86"/>
      <c r="G34" s="86"/>
      <c r="I34" s="87">
        <v>14</v>
      </c>
      <c r="J34" s="78">
        <v>14</v>
      </c>
      <c r="K34" s="76">
        <v>160</v>
      </c>
      <c r="L34" s="78">
        <v>1.4059999999999999</v>
      </c>
      <c r="M34" s="104">
        <v>190</v>
      </c>
      <c r="N34" s="78">
        <f t="shared" si="1"/>
        <v>282.75116840878445</v>
      </c>
    </row>
    <row r="35" spans="2:14" x14ac:dyDescent="0.2">
      <c r="B35" s="87">
        <v>1</v>
      </c>
      <c r="C35" s="75">
        <v>1.3149999999999999</v>
      </c>
      <c r="D35" s="82" t="s">
        <v>1542</v>
      </c>
      <c r="E35" s="75">
        <v>0.109</v>
      </c>
      <c r="F35" s="83">
        <v>1.4039999999999999</v>
      </c>
      <c r="G35" s="78">
        <f>F35*3.2808399*0.4535924</f>
        <v>2.089382318136491</v>
      </c>
      <c r="I35" s="87">
        <v>14</v>
      </c>
      <c r="J35" s="78">
        <v>14</v>
      </c>
      <c r="K35" s="88" t="s">
        <v>1545</v>
      </c>
      <c r="L35" s="78">
        <v>1.5</v>
      </c>
      <c r="M35" s="104">
        <v>200</v>
      </c>
      <c r="N35" s="78">
        <f t="shared" si="1"/>
        <v>297.63280885135202</v>
      </c>
    </row>
    <row r="36" spans="2:14" x14ac:dyDescent="0.2">
      <c r="B36" s="87">
        <v>1</v>
      </c>
      <c r="C36" s="75">
        <v>1.3149999999999999</v>
      </c>
      <c r="D36" s="94" t="s">
        <v>1540</v>
      </c>
      <c r="E36" s="75">
        <v>0.13300000000000001</v>
      </c>
      <c r="F36" s="83">
        <v>1.6779999999999999</v>
      </c>
      <c r="G36" s="78">
        <f>F36*3.2808399*0.4535924</f>
        <v>2.4971392662628431</v>
      </c>
      <c r="I36" s="96" t="s">
        <v>899</v>
      </c>
      <c r="J36" s="89" t="s">
        <v>899</v>
      </c>
      <c r="K36" s="80" t="s">
        <v>899</v>
      </c>
      <c r="L36" s="89" t="s">
        <v>899</v>
      </c>
      <c r="M36" s="105" t="s">
        <v>899</v>
      </c>
      <c r="N36" s="95" t="s">
        <v>899</v>
      </c>
    </row>
    <row r="37" spans="2:14" x14ac:dyDescent="0.2">
      <c r="B37" s="87">
        <v>1</v>
      </c>
      <c r="C37" s="75">
        <v>1.3149999999999999</v>
      </c>
      <c r="D37" s="76" t="s">
        <v>1541</v>
      </c>
      <c r="E37" s="75">
        <v>0.17899999999999999</v>
      </c>
      <c r="F37" s="83">
        <v>2.1709999999999998</v>
      </c>
      <c r="G37" s="78">
        <f>F37*3.2808399*0.4535924</f>
        <v>3.230804140081426</v>
      </c>
      <c r="I37" s="87">
        <v>16</v>
      </c>
      <c r="J37" s="78">
        <v>16</v>
      </c>
      <c r="K37" s="76" t="s">
        <v>1549</v>
      </c>
      <c r="L37" s="78">
        <v>0.13400000000000001</v>
      </c>
      <c r="M37" s="104">
        <v>23</v>
      </c>
      <c r="N37" s="78">
        <f t="shared" ref="N37:N63" si="2">M37*3.2808399*0.4535924</f>
        <v>34.227773017905477</v>
      </c>
    </row>
    <row r="38" spans="2:14" x14ac:dyDescent="0.2">
      <c r="B38" s="87">
        <v>1</v>
      </c>
      <c r="C38" s="75">
        <v>1.3149999999999999</v>
      </c>
      <c r="D38" s="76">
        <v>160</v>
      </c>
      <c r="E38" s="78">
        <v>0.25</v>
      </c>
      <c r="F38" s="83">
        <v>2.85</v>
      </c>
      <c r="G38" s="78">
        <f>F38*3.2808399*0.4535924</f>
        <v>4.2412675261317663</v>
      </c>
      <c r="I38" s="87">
        <v>16</v>
      </c>
      <c r="J38" s="78">
        <v>16</v>
      </c>
      <c r="K38" s="76" t="s">
        <v>1547</v>
      </c>
      <c r="L38" s="78">
        <v>0.16400000000000001</v>
      </c>
      <c r="M38" s="104">
        <v>28</v>
      </c>
      <c r="N38" s="78">
        <f t="shared" si="2"/>
        <v>41.668593239189285</v>
      </c>
    </row>
    <row r="39" spans="2:14" x14ac:dyDescent="0.2">
      <c r="B39" s="87">
        <v>1</v>
      </c>
      <c r="C39" s="75">
        <v>1.3149999999999999</v>
      </c>
      <c r="D39" s="76" t="s">
        <v>1543</v>
      </c>
      <c r="E39" s="75">
        <v>0.35799999999999998</v>
      </c>
      <c r="F39" s="83">
        <v>3.6589999999999998</v>
      </c>
      <c r="G39" s="78">
        <f>F39*3.2808399*0.4535924</f>
        <v>5.4451922379354851</v>
      </c>
      <c r="I39" s="87">
        <v>16</v>
      </c>
      <c r="J39" s="78">
        <v>16</v>
      </c>
      <c r="K39" s="88" t="s">
        <v>1545</v>
      </c>
      <c r="L39" s="78">
        <v>0.188</v>
      </c>
      <c r="M39" s="104">
        <v>32</v>
      </c>
      <c r="N39" s="78">
        <f t="shared" si="2"/>
        <v>47.621249416216322</v>
      </c>
    </row>
    <row r="40" spans="2:14" x14ac:dyDescent="0.2">
      <c r="B40" s="70"/>
      <c r="C40" s="79"/>
      <c r="D40" s="80"/>
      <c r="E40" s="79"/>
      <c r="F40" s="86"/>
      <c r="G40" s="86"/>
      <c r="I40" s="87">
        <v>16</v>
      </c>
      <c r="J40" s="78">
        <v>16</v>
      </c>
      <c r="K40" s="76" t="s">
        <v>1550</v>
      </c>
      <c r="L40" s="78">
        <v>0.19400000000000001</v>
      </c>
      <c r="M40" s="104">
        <v>33</v>
      </c>
      <c r="N40" s="78">
        <f t="shared" si="2"/>
        <v>49.109413460473085</v>
      </c>
    </row>
    <row r="41" spans="2:14" x14ac:dyDescent="0.2">
      <c r="B41" s="69">
        <v>1.25</v>
      </c>
      <c r="C41" s="78">
        <v>1.66</v>
      </c>
      <c r="D41" s="82" t="s">
        <v>1542</v>
      </c>
      <c r="E41" s="75">
        <v>0.109</v>
      </c>
      <c r="F41" s="83">
        <v>1.806</v>
      </c>
      <c r="G41" s="78">
        <f>F41*3.2808399*0.4535924</f>
        <v>2.687624263927709</v>
      </c>
      <c r="I41" s="87">
        <v>16</v>
      </c>
      <c r="J41" s="78">
        <v>16</v>
      </c>
      <c r="K41" s="76" t="s">
        <v>1544</v>
      </c>
      <c r="L41" s="78">
        <v>0.219</v>
      </c>
      <c r="M41" s="104">
        <v>37</v>
      </c>
      <c r="N41" s="78">
        <f t="shared" si="2"/>
        <v>55.062069637500123</v>
      </c>
    </row>
    <row r="42" spans="2:14" x14ac:dyDescent="0.2">
      <c r="B42" s="69">
        <v>1.25</v>
      </c>
      <c r="C42" s="78">
        <v>1.66</v>
      </c>
      <c r="D42" s="94" t="s">
        <v>1540</v>
      </c>
      <c r="E42" s="78">
        <v>0.14000000000000001</v>
      </c>
      <c r="F42" s="83">
        <v>2.2719999999999998</v>
      </c>
      <c r="G42" s="78">
        <f>F42*3.2808399*0.4535924</f>
        <v>3.3811087085513587</v>
      </c>
      <c r="I42" s="87">
        <v>16</v>
      </c>
      <c r="J42" s="78">
        <v>16</v>
      </c>
      <c r="K42" s="76" t="s">
        <v>1551</v>
      </c>
      <c r="L42" s="78">
        <v>0.23899999999999999</v>
      </c>
      <c r="M42" s="104">
        <v>40</v>
      </c>
      <c r="N42" s="78">
        <f t="shared" si="2"/>
        <v>59.526561770270405</v>
      </c>
    </row>
    <row r="43" spans="2:14" x14ac:dyDescent="0.2">
      <c r="B43" s="69">
        <v>1.25</v>
      </c>
      <c r="C43" s="78">
        <v>1.66</v>
      </c>
      <c r="D43" s="88" t="s">
        <v>1103</v>
      </c>
      <c r="E43" s="75">
        <v>0.191</v>
      </c>
      <c r="F43" s="83">
        <v>2.996</v>
      </c>
      <c r="G43" s="78">
        <f>F43*3.2808399*0.4535924</f>
        <v>4.4585394765932529</v>
      </c>
      <c r="I43" s="87">
        <v>16</v>
      </c>
      <c r="J43" s="78">
        <v>16</v>
      </c>
      <c r="K43" s="76">
        <v>10</v>
      </c>
      <c r="L43" s="78">
        <v>0.25</v>
      </c>
      <c r="M43" s="104">
        <v>42</v>
      </c>
      <c r="N43" s="78">
        <f t="shared" si="2"/>
        <v>62.502889858783924</v>
      </c>
    </row>
    <row r="44" spans="2:14" x14ac:dyDescent="0.2">
      <c r="B44" s="69">
        <v>1.25</v>
      </c>
      <c r="C44" s="78">
        <v>1.66</v>
      </c>
      <c r="D44" s="88" t="s">
        <v>1103</v>
      </c>
      <c r="E44" s="78">
        <v>0.25</v>
      </c>
      <c r="F44" s="83">
        <v>3.7639999999999998</v>
      </c>
      <c r="G44" s="78">
        <f>F44*3.2808399*0.4535924</f>
        <v>5.6014494625824449</v>
      </c>
      <c r="I44" s="87">
        <v>16</v>
      </c>
      <c r="J44" s="78">
        <v>16</v>
      </c>
      <c r="K44" s="76" t="s">
        <v>1544</v>
      </c>
      <c r="L44" s="78">
        <v>0.28100000000000003</v>
      </c>
      <c r="M44" s="104">
        <v>47</v>
      </c>
      <c r="N44" s="78">
        <f t="shared" si="2"/>
        <v>69.943710080067731</v>
      </c>
    </row>
    <row r="45" spans="2:14" x14ac:dyDescent="0.2">
      <c r="B45" s="69">
        <v>1.25</v>
      </c>
      <c r="C45" s="78">
        <v>1.66</v>
      </c>
      <c r="D45" s="88" t="s">
        <v>1103</v>
      </c>
      <c r="E45" s="75">
        <v>0.38200000000000001</v>
      </c>
      <c r="F45" s="83">
        <v>5.2140000000000004</v>
      </c>
      <c r="G45" s="78">
        <f>F45*3.2808399*0.4535924</f>
        <v>7.7592873267547473</v>
      </c>
      <c r="I45" s="87">
        <v>16</v>
      </c>
      <c r="J45" s="78">
        <v>16</v>
      </c>
      <c r="K45" s="76">
        <v>20</v>
      </c>
      <c r="L45" s="78">
        <v>0.312</v>
      </c>
      <c r="M45" s="104">
        <v>52</v>
      </c>
      <c r="N45" s="78">
        <f t="shared" si="2"/>
        <v>77.384530301351532</v>
      </c>
    </row>
    <row r="46" spans="2:14" x14ac:dyDescent="0.2">
      <c r="B46" s="70"/>
      <c r="C46" s="79"/>
      <c r="D46" s="80"/>
      <c r="E46" s="79"/>
      <c r="F46" s="86"/>
      <c r="G46" s="86"/>
      <c r="I46" s="87">
        <v>16</v>
      </c>
      <c r="J46" s="78">
        <v>16</v>
      </c>
      <c r="K46" s="76" t="s">
        <v>1544</v>
      </c>
      <c r="L46" s="78">
        <v>0.34399999999999997</v>
      </c>
      <c r="M46" s="104">
        <v>57</v>
      </c>
      <c r="N46" s="78">
        <f t="shared" si="2"/>
        <v>84.825350522635318</v>
      </c>
    </row>
    <row r="47" spans="2:14" x14ac:dyDescent="0.2">
      <c r="B47" s="69">
        <v>1.5</v>
      </c>
      <c r="C47" s="78">
        <v>1.9</v>
      </c>
      <c r="D47" s="82" t="s">
        <v>1542</v>
      </c>
      <c r="E47" s="78">
        <v>0.109</v>
      </c>
      <c r="F47" s="83">
        <v>2.085</v>
      </c>
      <c r="G47" s="78">
        <f>F47*3.2808399*0.4535924</f>
        <v>3.1028220322753448</v>
      </c>
      <c r="I47" s="87">
        <v>16</v>
      </c>
      <c r="J47" s="78">
        <v>16</v>
      </c>
      <c r="K47" s="94" t="s">
        <v>1540</v>
      </c>
      <c r="L47" s="78">
        <v>0.375</v>
      </c>
      <c r="M47" s="104">
        <v>63</v>
      </c>
      <c r="N47" s="78">
        <f t="shared" si="2"/>
        <v>93.754334788175896</v>
      </c>
    </row>
    <row r="48" spans="2:14" x14ac:dyDescent="0.2">
      <c r="B48" s="69">
        <v>1.5</v>
      </c>
      <c r="C48" s="78">
        <v>1.9</v>
      </c>
      <c r="D48" s="94" t="s">
        <v>1540</v>
      </c>
      <c r="E48" s="78">
        <v>0.14499999999999999</v>
      </c>
      <c r="F48" s="83">
        <v>2.7170000000000001</v>
      </c>
      <c r="G48" s="78">
        <f>F48*3.2808399*0.4535924</f>
        <v>4.0433417082456176</v>
      </c>
      <c r="I48" s="87">
        <v>16</v>
      </c>
      <c r="J48" s="78">
        <v>16</v>
      </c>
      <c r="K48" s="76" t="s">
        <v>1544</v>
      </c>
      <c r="L48" s="78">
        <v>0.438</v>
      </c>
      <c r="M48" s="104">
        <v>73</v>
      </c>
      <c r="N48" s="78">
        <f t="shared" si="2"/>
        <v>108.63597523074348</v>
      </c>
    </row>
    <row r="49" spans="2:14" x14ac:dyDescent="0.2">
      <c r="B49" s="69">
        <v>1.5</v>
      </c>
      <c r="C49" s="78">
        <v>1.9</v>
      </c>
      <c r="D49" s="76" t="s">
        <v>1541</v>
      </c>
      <c r="E49" s="78">
        <v>0.2</v>
      </c>
      <c r="F49" s="83">
        <v>3.6309999999999998</v>
      </c>
      <c r="G49" s="78">
        <f>F49*3.2808399*0.4535924</f>
        <v>5.4035236446962953</v>
      </c>
      <c r="I49" s="87">
        <v>16</v>
      </c>
      <c r="J49" s="78">
        <v>16</v>
      </c>
      <c r="K49" s="76" t="s">
        <v>1541</v>
      </c>
      <c r="L49" s="78">
        <v>0.5</v>
      </c>
      <c r="M49" s="104">
        <v>83</v>
      </c>
      <c r="N49" s="78">
        <f t="shared" si="2"/>
        <v>123.5176156733111</v>
      </c>
    </row>
    <row r="50" spans="2:14" x14ac:dyDescent="0.2">
      <c r="B50" s="69">
        <v>1.5</v>
      </c>
      <c r="C50" s="78">
        <v>1.9</v>
      </c>
      <c r="D50" s="76">
        <v>160</v>
      </c>
      <c r="E50" s="78">
        <v>0.28100000000000003</v>
      </c>
      <c r="F50" s="83">
        <v>4.8620000000000001</v>
      </c>
      <c r="G50" s="78">
        <f>F50*3.2808399*0.4535924</f>
        <v>7.2354535831763673</v>
      </c>
      <c r="I50" s="87">
        <v>16</v>
      </c>
      <c r="J50" s="78">
        <v>16</v>
      </c>
      <c r="K50" s="88" t="s">
        <v>1545</v>
      </c>
      <c r="L50" s="78">
        <v>0.625</v>
      </c>
      <c r="M50" s="104">
        <v>103</v>
      </c>
      <c r="N50" s="78">
        <f t="shared" si="2"/>
        <v>153.28089655844627</v>
      </c>
    </row>
    <row r="51" spans="2:14" x14ac:dyDescent="0.2">
      <c r="B51" s="69">
        <v>1.5</v>
      </c>
      <c r="C51" s="78">
        <v>1.9</v>
      </c>
      <c r="D51" s="76" t="s">
        <v>1543</v>
      </c>
      <c r="E51" s="78">
        <v>0.4</v>
      </c>
      <c r="F51" s="83">
        <v>6.4080000000000004</v>
      </c>
      <c r="G51" s="78">
        <f>F51*3.2808399*0.4535924</f>
        <v>9.5361551955973187</v>
      </c>
      <c r="I51" s="87">
        <v>16</v>
      </c>
      <c r="J51" s="78">
        <v>16</v>
      </c>
      <c r="K51" s="76">
        <v>60</v>
      </c>
      <c r="L51" s="78">
        <v>0.65600000000000003</v>
      </c>
      <c r="M51" s="104">
        <v>108</v>
      </c>
      <c r="N51" s="78">
        <f t="shared" si="2"/>
        <v>160.72171677973009</v>
      </c>
    </row>
    <row r="52" spans="2:14" x14ac:dyDescent="0.2">
      <c r="B52" s="70"/>
      <c r="C52" s="79"/>
      <c r="D52" s="80"/>
      <c r="E52" s="89"/>
      <c r="F52" s="86"/>
      <c r="G52" s="86"/>
      <c r="I52" s="87">
        <v>16</v>
      </c>
      <c r="J52" s="78">
        <v>16</v>
      </c>
      <c r="K52" s="88" t="s">
        <v>1545</v>
      </c>
      <c r="L52" s="78">
        <v>0.75</v>
      </c>
      <c r="M52" s="104">
        <v>122</v>
      </c>
      <c r="N52" s="78">
        <f t="shared" si="2"/>
        <v>181.55601339932474</v>
      </c>
    </row>
    <row r="53" spans="2:14" x14ac:dyDescent="0.2">
      <c r="B53" s="87">
        <v>2</v>
      </c>
      <c r="C53" s="75">
        <v>2.375</v>
      </c>
      <c r="D53" s="82" t="s">
        <v>1542</v>
      </c>
      <c r="E53" s="78">
        <v>0.109</v>
      </c>
      <c r="F53" s="83">
        <v>2.6379999999999999</v>
      </c>
      <c r="G53" s="78">
        <f t="shared" ref="G53:G58" si="3">F53*3.2808399*0.4535924</f>
        <v>3.9257767487493331</v>
      </c>
      <c r="I53" s="87">
        <v>16</v>
      </c>
      <c r="J53" s="78">
        <v>16</v>
      </c>
      <c r="K53" s="76">
        <v>80</v>
      </c>
      <c r="L53" s="78">
        <v>0.84399999999999997</v>
      </c>
      <c r="M53" s="104">
        <v>137</v>
      </c>
      <c r="N53" s="78">
        <f t="shared" si="2"/>
        <v>203.87847406317613</v>
      </c>
    </row>
    <row r="54" spans="2:14" x14ac:dyDescent="0.2">
      <c r="B54" s="87">
        <v>2</v>
      </c>
      <c r="C54" s="75">
        <v>2.375</v>
      </c>
      <c r="D54" s="94" t="s">
        <v>1540</v>
      </c>
      <c r="E54" s="78">
        <v>0.154</v>
      </c>
      <c r="F54" s="83">
        <v>3.6520000000000001</v>
      </c>
      <c r="G54" s="78">
        <f t="shared" si="3"/>
        <v>5.4347750896256883</v>
      </c>
      <c r="I54" s="87">
        <v>16</v>
      </c>
      <c r="J54" s="78">
        <v>16</v>
      </c>
      <c r="K54" s="88" t="s">
        <v>1545</v>
      </c>
      <c r="L54" s="78">
        <v>0.875</v>
      </c>
      <c r="M54" s="104">
        <v>141</v>
      </c>
      <c r="N54" s="78">
        <f t="shared" si="2"/>
        <v>209.83113024020315</v>
      </c>
    </row>
    <row r="55" spans="2:14" x14ac:dyDescent="0.2">
      <c r="B55" s="87">
        <v>2</v>
      </c>
      <c r="C55" s="75">
        <v>2.375</v>
      </c>
      <c r="D55" s="76" t="s">
        <v>1541</v>
      </c>
      <c r="E55" s="78">
        <v>0.218</v>
      </c>
      <c r="F55" s="83">
        <v>5.0220000000000002</v>
      </c>
      <c r="G55" s="78">
        <f t="shared" si="3"/>
        <v>7.4735598302574502</v>
      </c>
      <c r="I55" s="87">
        <v>16</v>
      </c>
      <c r="J55" s="78">
        <v>16</v>
      </c>
      <c r="K55" s="88" t="s">
        <v>1545</v>
      </c>
      <c r="L55" s="78">
        <v>1</v>
      </c>
      <c r="M55" s="104">
        <v>160</v>
      </c>
      <c r="N55" s="78">
        <f t="shared" si="2"/>
        <v>238.10624708108162</v>
      </c>
    </row>
    <row r="56" spans="2:14" x14ac:dyDescent="0.2">
      <c r="B56" s="87">
        <v>2</v>
      </c>
      <c r="C56" s="75">
        <v>2.375</v>
      </c>
      <c r="D56" s="88" t="s">
        <v>1103</v>
      </c>
      <c r="E56" s="78">
        <v>0.25</v>
      </c>
      <c r="F56" s="83">
        <v>5.673</v>
      </c>
      <c r="G56" s="78">
        <f t="shared" si="3"/>
        <v>8.4423546230686011</v>
      </c>
      <c r="I56" s="87">
        <v>16</v>
      </c>
      <c r="J56" s="78">
        <v>16</v>
      </c>
      <c r="K56" s="76">
        <v>100</v>
      </c>
      <c r="L56" s="78">
        <v>1.0309999999999999</v>
      </c>
      <c r="M56" s="104">
        <v>165</v>
      </c>
      <c r="N56" s="78">
        <f t="shared" si="2"/>
        <v>245.54706730236541</v>
      </c>
    </row>
    <row r="57" spans="2:14" x14ac:dyDescent="0.2">
      <c r="B57" s="87">
        <v>2</v>
      </c>
      <c r="C57" s="75">
        <v>2.375</v>
      </c>
      <c r="D57" s="76">
        <v>160</v>
      </c>
      <c r="E57" s="78">
        <v>0.34399999999999997</v>
      </c>
      <c r="F57" s="83">
        <v>7.45</v>
      </c>
      <c r="G57" s="78">
        <f t="shared" si="3"/>
        <v>11.086822129712862</v>
      </c>
      <c r="I57" s="87">
        <v>16</v>
      </c>
      <c r="J57" s="78">
        <v>16</v>
      </c>
      <c r="K57" s="88" t="s">
        <v>1545</v>
      </c>
      <c r="L57" s="78">
        <v>1.125</v>
      </c>
      <c r="M57" s="104">
        <v>179</v>
      </c>
      <c r="N57" s="78">
        <f t="shared" si="2"/>
        <v>266.38136392196003</v>
      </c>
    </row>
    <row r="58" spans="2:14" x14ac:dyDescent="0.2">
      <c r="B58" s="87">
        <v>2</v>
      </c>
      <c r="C58" s="75">
        <v>2.375</v>
      </c>
      <c r="D58" s="76" t="s">
        <v>1543</v>
      </c>
      <c r="E58" s="78">
        <v>0.436</v>
      </c>
      <c r="F58" s="83">
        <v>9.0289999999999999</v>
      </c>
      <c r="G58" s="78">
        <f t="shared" si="3"/>
        <v>13.436633155594286</v>
      </c>
      <c r="I58" s="87">
        <v>16</v>
      </c>
      <c r="J58" s="78">
        <v>16</v>
      </c>
      <c r="K58" s="76">
        <v>120</v>
      </c>
      <c r="L58" s="78">
        <v>1.2190000000000001</v>
      </c>
      <c r="M58" s="104">
        <v>193</v>
      </c>
      <c r="N58" s="78">
        <f t="shared" si="2"/>
        <v>287.21566054155471</v>
      </c>
    </row>
    <row r="59" spans="2:14" x14ac:dyDescent="0.2">
      <c r="B59" s="70"/>
      <c r="C59" s="79"/>
      <c r="D59" s="80"/>
      <c r="E59" s="89"/>
      <c r="F59" s="86"/>
      <c r="G59" s="86"/>
      <c r="I59" s="87">
        <v>16</v>
      </c>
      <c r="J59" s="78">
        <v>16</v>
      </c>
      <c r="K59" s="88" t="s">
        <v>1545</v>
      </c>
      <c r="L59" s="78">
        <v>1.25</v>
      </c>
      <c r="M59" s="104">
        <v>197</v>
      </c>
      <c r="N59" s="78">
        <f t="shared" si="2"/>
        <v>293.16831671858176</v>
      </c>
    </row>
    <row r="60" spans="2:14" x14ac:dyDescent="0.2">
      <c r="B60" s="69">
        <v>2.5</v>
      </c>
      <c r="C60" s="75">
        <v>2.875</v>
      </c>
      <c r="D60" s="82" t="s">
        <v>1542</v>
      </c>
      <c r="E60" s="78">
        <v>0.12</v>
      </c>
      <c r="F60" s="83">
        <v>3.53</v>
      </c>
      <c r="G60" s="78">
        <f>F60*3.2808399*0.4535924</f>
        <v>5.2532190762263626</v>
      </c>
      <c r="I60" s="87">
        <v>16</v>
      </c>
      <c r="J60" s="78">
        <v>16</v>
      </c>
      <c r="K60" s="88" t="s">
        <v>1545</v>
      </c>
      <c r="L60" s="78">
        <v>1.375</v>
      </c>
      <c r="M60" s="104">
        <v>215</v>
      </c>
      <c r="N60" s="78">
        <f t="shared" si="2"/>
        <v>319.95526951520344</v>
      </c>
    </row>
    <row r="61" spans="2:14" x14ac:dyDescent="0.2">
      <c r="B61" s="69">
        <v>2.5</v>
      </c>
      <c r="C61" s="75">
        <v>2.875</v>
      </c>
      <c r="D61" s="94" t="s">
        <v>1540</v>
      </c>
      <c r="E61" s="78">
        <v>0.20300000000000001</v>
      </c>
      <c r="F61" s="83">
        <v>5.79</v>
      </c>
      <c r="G61" s="78">
        <f>F61*3.2808399*0.4535924</f>
        <v>8.6164698162466404</v>
      </c>
      <c r="I61" s="87">
        <v>16</v>
      </c>
      <c r="J61" s="78">
        <v>16</v>
      </c>
      <c r="K61" s="76">
        <v>140</v>
      </c>
      <c r="L61" s="78">
        <v>1.4379999999999999</v>
      </c>
      <c r="M61" s="104">
        <v>224</v>
      </c>
      <c r="N61" s="78">
        <f t="shared" si="2"/>
        <v>333.34874591351428</v>
      </c>
    </row>
    <row r="62" spans="2:14" x14ac:dyDescent="0.2">
      <c r="B62" s="69">
        <v>2.5</v>
      </c>
      <c r="C62" s="75">
        <v>2.875</v>
      </c>
      <c r="D62" s="76" t="s">
        <v>1541</v>
      </c>
      <c r="E62" s="78">
        <v>0.27600000000000002</v>
      </c>
      <c r="F62" s="83">
        <v>7.66</v>
      </c>
      <c r="G62" s="78">
        <f>F62*3.2808399*0.4535924</f>
        <v>11.399336579006782</v>
      </c>
      <c r="I62" s="87">
        <v>16</v>
      </c>
      <c r="J62" s="78">
        <v>16</v>
      </c>
      <c r="K62" s="88" t="s">
        <v>1545</v>
      </c>
      <c r="L62" s="78">
        <v>1.5</v>
      </c>
      <c r="M62" s="104">
        <v>232</v>
      </c>
      <c r="N62" s="78">
        <f t="shared" si="2"/>
        <v>345.25405826756833</v>
      </c>
    </row>
    <row r="63" spans="2:14" x14ac:dyDescent="0.2">
      <c r="B63" s="69">
        <v>2.5</v>
      </c>
      <c r="C63" s="75">
        <v>2.875</v>
      </c>
      <c r="D63" s="76">
        <v>160</v>
      </c>
      <c r="E63" s="78">
        <v>0.375</v>
      </c>
      <c r="F63" s="83">
        <v>10.01</v>
      </c>
      <c r="G63" s="78">
        <f>F63*3.2808399*0.4535924</f>
        <v>14.896522083010167</v>
      </c>
      <c r="I63" s="87">
        <v>16</v>
      </c>
      <c r="J63" s="78">
        <v>16</v>
      </c>
      <c r="K63" s="76">
        <v>160</v>
      </c>
      <c r="L63" s="78">
        <v>1.5940000000000001</v>
      </c>
      <c r="M63" s="104">
        <v>245</v>
      </c>
      <c r="N63" s="78">
        <f t="shared" si="2"/>
        <v>364.60019084290622</v>
      </c>
    </row>
    <row r="64" spans="2:14" x14ac:dyDescent="0.2">
      <c r="B64" s="69">
        <v>2.5</v>
      </c>
      <c r="C64" s="75">
        <v>2.875</v>
      </c>
      <c r="D64" s="76" t="s">
        <v>1543</v>
      </c>
      <c r="E64" s="78">
        <v>0.55200000000000005</v>
      </c>
      <c r="F64" s="83">
        <v>13.69</v>
      </c>
      <c r="G64" s="78">
        <f>F64*3.2808399*0.4535924</f>
        <v>20.372965765875048</v>
      </c>
      <c r="I64" s="96" t="s">
        <v>899</v>
      </c>
      <c r="J64" s="89" t="s">
        <v>899</v>
      </c>
      <c r="K64" s="80" t="s">
        <v>899</v>
      </c>
      <c r="L64" s="89" t="s">
        <v>899</v>
      </c>
      <c r="M64" s="105" t="s">
        <v>899</v>
      </c>
      <c r="N64" s="95" t="s">
        <v>899</v>
      </c>
    </row>
    <row r="65" spans="2:14" x14ac:dyDescent="0.2">
      <c r="B65" s="70"/>
      <c r="C65" s="79"/>
      <c r="D65" s="80"/>
      <c r="E65" s="89"/>
      <c r="F65" s="86"/>
      <c r="G65" s="86"/>
      <c r="I65" s="87">
        <v>18</v>
      </c>
      <c r="J65" s="78">
        <v>18</v>
      </c>
      <c r="K65" s="76" t="s">
        <v>1549</v>
      </c>
      <c r="L65" s="78">
        <v>0.13400000000000001</v>
      </c>
      <c r="M65" s="104">
        <v>26</v>
      </c>
      <c r="N65" s="78">
        <f t="shared" ref="N65:N89" si="4">M65*3.2808399*0.4535924</f>
        <v>38.692265150675766</v>
      </c>
    </row>
    <row r="66" spans="2:14" x14ac:dyDescent="0.2">
      <c r="B66" s="87">
        <v>3</v>
      </c>
      <c r="C66" s="75">
        <v>3.5</v>
      </c>
      <c r="D66" s="82" t="s">
        <v>1542</v>
      </c>
      <c r="E66" s="78">
        <v>0.12</v>
      </c>
      <c r="F66" s="66">
        <v>4.33</v>
      </c>
      <c r="G66" s="78">
        <f t="shared" ref="G66:G75" si="5">F66*3.2808399*0.4535924</f>
        <v>6.4437503116317707</v>
      </c>
      <c r="I66" s="87">
        <v>18</v>
      </c>
      <c r="J66" s="78">
        <v>18</v>
      </c>
      <c r="K66" s="76" t="s">
        <v>1547</v>
      </c>
      <c r="L66" s="78">
        <v>0.16400000000000001</v>
      </c>
      <c r="M66" s="104">
        <v>31</v>
      </c>
      <c r="N66" s="78">
        <f t="shared" si="4"/>
        <v>46.133085371959559</v>
      </c>
    </row>
    <row r="67" spans="2:14" x14ac:dyDescent="0.2">
      <c r="B67" s="87">
        <v>3</v>
      </c>
      <c r="C67" s="75">
        <v>3.5</v>
      </c>
      <c r="D67" s="76" t="s">
        <v>1544</v>
      </c>
      <c r="E67" s="78">
        <v>0.125</v>
      </c>
      <c r="F67" s="66">
        <v>4.5199999999999996</v>
      </c>
      <c r="G67" s="78">
        <f t="shared" si="5"/>
        <v>6.7265014800405547</v>
      </c>
      <c r="I67" s="87">
        <v>18</v>
      </c>
      <c r="J67" s="78">
        <v>18</v>
      </c>
      <c r="K67" s="76" t="s">
        <v>1550</v>
      </c>
      <c r="L67" s="78">
        <v>0.19400000000000001</v>
      </c>
      <c r="M67" s="104">
        <v>37</v>
      </c>
      <c r="N67" s="78">
        <f t="shared" si="4"/>
        <v>55.062069637500123</v>
      </c>
    </row>
    <row r="68" spans="2:14" x14ac:dyDescent="0.2">
      <c r="B68" s="87">
        <v>3</v>
      </c>
      <c r="C68" s="75">
        <v>3.5</v>
      </c>
      <c r="D68" s="76" t="s">
        <v>1544</v>
      </c>
      <c r="E68" s="78">
        <v>0.156</v>
      </c>
      <c r="F68" s="66">
        <v>5.58</v>
      </c>
      <c r="G68" s="78">
        <f t="shared" si="5"/>
        <v>8.3039553669527209</v>
      </c>
      <c r="I68" s="87">
        <v>18</v>
      </c>
      <c r="J68" s="78">
        <v>18</v>
      </c>
      <c r="K68" s="76" t="s">
        <v>1551</v>
      </c>
      <c r="L68" s="78">
        <v>0.23899999999999999</v>
      </c>
      <c r="M68" s="104">
        <v>45</v>
      </c>
      <c r="N68" s="78">
        <f t="shared" si="4"/>
        <v>66.967381991554205</v>
      </c>
    </row>
    <row r="69" spans="2:14" x14ac:dyDescent="0.2">
      <c r="B69" s="87">
        <v>3</v>
      </c>
      <c r="C69" s="75">
        <v>3.5</v>
      </c>
      <c r="D69" s="76" t="s">
        <v>1544</v>
      </c>
      <c r="E69" s="78">
        <v>0.188</v>
      </c>
      <c r="F69" s="66">
        <v>6.65</v>
      </c>
      <c r="G69" s="78">
        <f t="shared" si="5"/>
        <v>9.8962908943074535</v>
      </c>
      <c r="I69" s="87">
        <v>18</v>
      </c>
      <c r="J69" s="78">
        <v>18</v>
      </c>
      <c r="K69" s="76">
        <v>10</v>
      </c>
      <c r="L69" s="78">
        <v>0.25</v>
      </c>
      <c r="M69" s="104">
        <v>47</v>
      </c>
      <c r="N69" s="78">
        <f t="shared" si="4"/>
        <v>69.943710080067731</v>
      </c>
    </row>
    <row r="70" spans="2:14" x14ac:dyDescent="0.2">
      <c r="B70" s="87">
        <v>3</v>
      </c>
      <c r="C70" s="75">
        <v>3.5</v>
      </c>
      <c r="D70" s="94" t="s">
        <v>1540</v>
      </c>
      <c r="E70" s="78">
        <v>0.216</v>
      </c>
      <c r="F70" s="66">
        <v>7.57</v>
      </c>
      <c r="G70" s="78">
        <f t="shared" si="5"/>
        <v>11.265401815023674</v>
      </c>
      <c r="I70" s="87">
        <v>18</v>
      </c>
      <c r="J70" s="78">
        <v>18</v>
      </c>
      <c r="K70" s="76" t="s">
        <v>1544</v>
      </c>
      <c r="L70" s="78">
        <v>0.28100000000000003</v>
      </c>
      <c r="M70" s="104">
        <v>49</v>
      </c>
      <c r="N70" s="78">
        <f t="shared" si="4"/>
        <v>72.920038168581243</v>
      </c>
    </row>
    <row r="71" spans="2:14" x14ac:dyDescent="0.2">
      <c r="B71" s="87">
        <v>3</v>
      </c>
      <c r="C71" s="75">
        <v>3.5</v>
      </c>
      <c r="D71" s="76" t="s">
        <v>1544</v>
      </c>
      <c r="E71" s="78">
        <v>0.25</v>
      </c>
      <c r="F71" s="66">
        <v>8.68</v>
      </c>
      <c r="G71" s="78">
        <f t="shared" si="5"/>
        <v>12.917263904148678</v>
      </c>
      <c r="I71" s="87">
        <v>18</v>
      </c>
      <c r="J71" s="78">
        <v>18</v>
      </c>
      <c r="K71" s="76">
        <v>20</v>
      </c>
      <c r="L71" s="78">
        <v>0.312</v>
      </c>
      <c r="M71" s="104">
        <v>59</v>
      </c>
      <c r="N71" s="78">
        <f t="shared" si="4"/>
        <v>87.801678611148844</v>
      </c>
    </row>
    <row r="72" spans="2:14" x14ac:dyDescent="0.2">
      <c r="B72" s="87">
        <v>3</v>
      </c>
      <c r="C72" s="75">
        <v>3.5</v>
      </c>
      <c r="D72" s="76" t="s">
        <v>1544</v>
      </c>
      <c r="E72" s="78">
        <v>0.28100000000000003</v>
      </c>
      <c r="F72" s="66">
        <v>9.65</v>
      </c>
      <c r="G72" s="78">
        <f t="shared" si="5"/>
        <v>14.360783027077735</v>
      </c>
      <c r="I72" s="87">
        <v>18</v>
      </c>
      <c r="J72" s="78">
        <v>18</v>
      </c>
      <c r="K72" s="76" t="s">
        <v>1544</v>
      </c>
      <c r="L72" s="78">
        <v>0.34399999999999997</v>
      </c>
      <c r="M72" s="104">
        <v>65</v>
      </c>
      <c r="N72" s="78">
        <f t="shared" si="4"/>
        <v>96.730662876689408</v>
      </c>
    </row>
    <row r="73" spans="2:14" x14ac:dyDescent="0.2">
      <c r="B73" s="87">
        <v>3</v>
      </c>
      <c r="C73" s="75">
        <v>3.5</v>
      </c>
      <c r="D73" s="76" t="s">
        <v>1541</v>
      </c>
      <c r="E73" s="78">
        <v>0.3</v>
      </c>
      <c r="F73" s="66">
        <v>10.25</v>
      </c>
      <c r="G73" s="78">
        <f t="shared" si="5"/>
        <v>15.25368145363179</v>
      </c>
      <c r="I73" s="87">
        <v>18</v>
      </c>
      <c r="J73" s="78">
        <v>18</v>
      </c>
      <c r="K73" s="94" t="s">
        <v>1540</v>
      </c>
      <c r="L73" s="78">
        <v>0.375</v>
      </c>
      <c r="M73" s="104">
        <v>71</v>
      </c>
      <c r="N73" s="78">
        <f t="shared" si="4"/>
        <v>105.65964714222997</v>
      </c>
    </row>
    <row r="74" spans="2:14" x14ac:dyDescent="0.2">
      <c r="B74" s="87">
        <v>3</v>
      </c>
      <c r="C74" s="75">
        <v>3.5</v>
      </c>
      <c r="D74" s="76">
        <v>160</v>
      </c>
      <c r="E74" s="78">
        <v>0.438</v>
      </c>
      <c r="F74" s="66">
        <v>14.32</v>
      </c>
      <c r="G74" s="78">
        <f t="shared" si="5"/>
        <v>21.310509113756805</v>
      </c>
      <c r="I74" s="87">
        <v>18</v>
      </c>
      <c r="J74" s="78">
        <v>18</v>
      </c>
      <c r="K74" s="76" t="s">
        <v>1544</v>
      </c>
      <c r="L74" s="78">
        <v>0.40600000000000003</v>
      </c>
      <c r="M74" s="104">
        <v>76</v>
      </c>
      <c r="N74" s="78">
        <f t="shared" si="4"/>
        <v>113.10046736351376</v>
      </c>
    </row>
    <row r="75" spans="2:14" x14ac:dyDescent="0.2">
      <c r="B75" s="87">
        <v>3</v>
      </c>
      <c r="C75" s="75">
        <v>3.5</v>
      </c>
      <c r="D75" s="76" t="s">
        <v>1543</v>
      </c>
      <c r="E75" s="78">
        <v>0.6</v>
      </c>
      <c r="F75" s="66">
        <v>18.579999999999998</v>
      </c>
      <c r="G75" s="78">
        <f t="shared" si="5"/>
        <v>27.6500879422906</v>
      </c>
      <c r="I75" s="87">
        <v>18</v>
      </c>
      <c r="J75" s="78">
        <v>18</v>
      </c>
      <c r="K75" s="76">
        <v>30</v>
      </c>
      <c r="L75" s="78">
        <v>0.438</v>
      </c>
      <c r="M75" s="104">
        <v>82</v>
      </c>
      <c r="N75" s="78">
        <f t="shared" si="4"/>
        <v>122.02945162905432</v>
      </c>
    </row>
    <row r="76" spans="2:14" x14ac:dyDescent="0.2">
      <c r="B76" s="70"/>
      <c r="C76" s="79"/>
      <c r="D76" s="80"/>
      <c r="E76" s="89"/>
      <c r="F76" s="95"/>
      <c r="G76" s="86"/>
      <c r="I76" s="87">
        <v>18</v>
      </c>
      <c r="J76" s="78">
        <v>18</v>
      </c>
      <c r="K76" s="76" t="s">
        <v>1541</v>
      </c>
      <c r="L76" s="78">
        <v>0.5</v>
      </c>
      <c r="M76" s="104">
        <v>93</v>
      </c>
      <c r="N76" s="78">
        <f t="shared" si="4"/>
        <v>138.39925611587867</v>
      </c>
    </row>
    <row r="77" spans="2:14" x14ac:dyDescent="0.2">
      <c r="B77" s="69">
        <v>3.5</v>
      </c>
      <c r="C77" s="75">
        <v>4</v>
      </c>
      <c r="D77" s="82" t="s">
        <v>1542</v>
      </c>
      <c r="E77" s="78">
        <v>0.12</v>
      </c>
      <c r="F77" s="66">
        <v>4.97</v>
      </c>
      <c r="G77" s="78">
        <f t="shared" ref="G77:G85" si="6">F77*3.2808399*0.4535924</f>
        <v>7.3961752999560968</v>
      </c>
      <c r="I77" s="87">
        <v>18</v>
      </c>
      <c r="J77" s="78">
        <v>18</v>
      </c>
      <c r="K77" s="76">
        <v>40</v>
      </c>
      <c r="L77" s="78">
        <v>0.56200000000000006</v>
      </c>
      <c r="M77" s="104">
        <v>105</v>
      </c>
      <c r="N77" s="78">
        <f t="shared" si="4"/>
        <v>156.25722464695983</v>
      </c>
    </row>
    <row r="78" spans="2:14" x14ac:dyDescent="0.2">
      <c r="B78" s="69">
        <v>3.5</v>
      </c>
      <c r="C78" s="75">
        <v>4</v>
      </c>
      <c r="D78" s="76" t="s">
        <v>1544</v>
      </c>
      <c r="E78" s="78">
        <v>0.125</v>
      </c>
      <c r="F78" s="66">
        <v>5.18</v>
      </c>
      <c r="G78" s="78">
        <f t="shared" si="6"/>
        <v>7.7086897492500164</v>
      </c>
      <c r="I78" s="87">
        <v>18</v>
      </c>
      <c r="J78" s="78">
        <v>18</v>
      </c>
      <c r="K78" s="88" t="s">
        <v>1545</v>
      </c>
      <c r="L78" s="78">
        <v>0.625</v>
      </c>
      <c r="M78" s="104">
        <v>116</v>
      </c>
      <c r="N78" s="78">
        <f t="shared" si="4"/>
        <v>172.62702913378416</v>
      </c>
    </row>
    <row r="79" spans="2:14" x14ac:dyDescent="0.2">
      <c r="B79" s="69">
        <v>3.5</v>
      </c>
      <c r="C79" s="75">
        <v>4</v>
      </c>
      <c r="D79" s="76" t="s">
        <v>1544</v>
      </c>
      <c r="E79" s="78">
        <v>0.156</v>
      </c>
      <c r="F79" s="66">
        <v>6.41</v>
      </c>
      <c r="G79" s="78">
        <f t="shared" si="6"/>
        <v>9.5391315236858318</v>
      </c>
      <c r="I79" s="87">
        <v>18</v>
      </c>
      <c r="J79" s="78">
        <v>18</v>
      </c>
      <c r="K79" s="76">
        <v>60</v>
      </c>
      <c r="L79" s="78">
        <v>0.75</v>
      </c>
      <c r="M79" s="104">
        <v>138</v>
      </c>
      <c r="N79" s="78">
        <f t="shared" si="4"/>
        <v>205.36663810743289</v>
      </c>
    </row>
    <row r="80" spans="2:14" x14ac:dyDescent="0.2">
      <c r="B80" s="69">
        <v>3.5</v>
      </c>
      <c r="C80" s="75">
        <v>4</v>
      </c>
      <c r="D80" s="76" t="s">
        <v>1544</v>
      </c>
      <c r="E80" s="78">
        <v>0.188</v>
      </c>
      <c r="F80" s="66">
        <v>7.71</v>
      </c>
      <c r="G80" s="78">
        <f t="shared" si="6"/>
        <v>11.47374478121962</v>
      </c>
      <c r="I80" s="87">
        <v>18</v>
      </c>
      <c r="J80" s="78">
        <v>18</v>
      </c>
      <c r="K80" s="88" t="s">
        <v>1545</v>
      </c>
      <c r="L80" s="78">
        <v>0.875</v>
      </c>
      <c r="M80" s="104">
        <v>160</v>
      </c>
      <c r="N80" s="78">
        <f t="shared" si="4"/>
        <v>238.10624708108162</v>
      </c>
    </row>
    <row r="81" spans="2:14" x14ac:dyDescent="0.2">
      <c r="B81" s="69">
        <v>3.5</v>
      </c>
      <c r="C81" s="75">
        <v>4</v>
      </c>
      <c r="D81" s="94" t="s">
        <v>1540</v>
      </c>
      <c r="E81" s="78">
        <v>0.22600000000000001</v>
      </c>
      <c r="F81" s="66">
        <v>9.11</v>
      </c>
      <c r="G81" s="78">
        <f t="shared" si="6"/>
        <v>13.557174443179083</v>
      </c>
      <c r="I81" s="87">
        <v>18</v>
      </c>
      <c r="J81" s="78">
        <v>18</v>
      </c>
      <c r="K81" s="76">
        <v>80</v>
      </c>
      <c r="L81" s="78">
        <v>0.93799999999999994</v>
      </c>
      <c r="M81" s="104">
        <v>171</v>
      </c>
      <c r="N81" s="78">
        <f t="shared" si="4"/>
        <v>254.47605156790601</v>
      </c>
    </row>
    <row r="82" spans="2:14" x14ac:dyDescent="0.2">
      <c r="B82" s="69">
        <v>3.5</v>
      </c>
      <c r="C82" s="75">
        <v>4</v>
      </c>
      <c r="D82" s="76" t="s">
        <v>1544</v>
      </c>
      <c r="E82" s="78">
        <v>0.25</v>
      </c>
      <c r="F82" s="66">
        <v>10.02</v>
      </c>
      <c r="G82" s="78">
        <f t="shared" si="6"/>
        <v>14.911403723452736</v>
      </c>
      <c r="I82" s="87">
        <v>18</v>
      </c>
      <c r="J82" s="78">
        <v>18</v>
      </c>
      <c r="K82" s="88" t="s">
        <v>1545</v>
      </c>
      <c r="L82" s="78">
        <v>1</v>
      </c>
      <c r="M82" s="104">
        <v>182</v>
      </c>
      <c r="N82" s="78">
        <f t="shared" si="4"/>
        <v>270.84585605473035</v>
      </c>
    </row>
    <row r="83" spans="2:14" x14ac:dyDescent="0.2">
      <c r="B83" s="69">
        <v>3.5</v>
      </c>
      <c r="C83" s="75">
        <v>4</v>
      </c>
      <c r="D83" s="76" t="s">
        <v>1544</v>
      </c>
      <c r="E83" s="78">
        <v>0.28100000000000003</v>
      </c>
      <c r="F83" s="66">
        <v>11.17</v>
      </c>
      <c r="G83" s="78">
        <f t="shared" si="6"/>
        <v>16.622792374348009</v>
      </c>
      <c r="I83" s="87">
        <v>18</v>
      </c>
      <c r="J83" s="78">
        <v>18</v>
      </c>
      <c r="K83" s="88" t="s">
        <v>1545</v>
      </c>
      <c r="L83" s="78">
        <v>1.125</v>
      </c>
      <c r="M83" s="104">
        <v>203</v>
      </c>
      <c r="N83" s="78">
        <f t="shared" si="4"/>
        <v>302.09730098412234</v>
      </c>
    </row>
    <row r="84" spans="2:14" x14ac:dyDescent="0.2">
      <c r="B84" s="69">
        <v>3.5</v>
      </c>
      <c r="C84" s="75">
        <v>4</v>
      </c>
      <c r="D84" s="76" t="s">
        <v>1541</v>
      </c>
      <c r="E84" s="78">
        <v>0.318</v>
      </c>
      <c r="F84" s="66">
        <v>12.51</v>
      </c>
      <c r="G84" s="78">
        <f t="shared" si="6"/>
        <v>18.616932193652069</v>
      </c>
      <c r="I84" s="87">
        <v>18</v>
      </c>
      <c r="J84" s="78">
        <v>18</v>
      </c>
      <c r="K84" s="76">
        <v>100</v>
      </c>
      <c r="L84" s="78">
        <v>1.1559999999999999</v>
      </c>
      <c r="M84" s="104">
        <v>208</v>
      </c>
      <c r="N84" s="78">
        <f t="shared" si="4"/>
        <v>309.53812120540613</v>
      </c>
    </row>
    <row r="85" spans="2:14" x14ac:dyDescent="0.2">
      <c r="B85" s="69">
        <v>3.5</v>
      </c>
      <c r="C85" s="75">
        <v>4</v>
      </c>
      <c r="D85" s="76" t="s">
        <v>1543</v>
      </c>
      <c r="E85" s="78">
        <v>0.63600000000000001</v>
      </c>
      <c r="F85" s="66">
        <v>22.85</v>
      </c>
      <c r="G85" s="78">
        <f t="shared" si="6"/>
        <v>34.004548411266974</v>
      </c>
      <c r="I85" s="87">
        <v>18</v>
      </c>
      <c r="J85" s="78">
        <v>18</v>
      </c>
      <c r="K85" s="88" t="s">
        <v>1545</v>
      </c>
      <c r="L85" s="78">
        <v>1.25</v>
      </c>
      <c r="M85" s="104">
        <v>224</v>
      </c>
      <c r="N85" s="78">
        <f t="shared" si="4"/>
        <v>333.34874591351428</v>
      </c>
    </row>
    <row r="86" spans="2:14" x14ac:dyDescent="0.2">
      <c r="B86" s="70"/>
      <c r="C86" s="79"/>
      <c r="D86" s="80" t="s">
        <v>899</v>
      </c>
      <c r="E86" s="89"/>
      <c r="F86" s="95"/>
      <c r="G86" s="86"/>
      <c r="I86" s="87">
        <v>18</v>
      </c>
      <c r="J86" s="78">
        <v>18</v>
      </c>
      <c r="K86" s="76">
        <v>120</v>
      </c>
      <c r="L86" s="78">
        <v>1.375</v>
      </c>
      <c r="M86" s="104">
        <v>244</v>
      </c>
      <c r="N86" s="78">
        <f t="shared" si="4"/>
        <v>363.11202679864948</v>
      </c>
    </row>
    <row r="87" spans="2:14" x14ac:dyDescent="0.2">
      <c r="B87" s="87">
        <v>4</v>
      </c>
      <c r="C87" s="75">
        <v>4.5</v>
      </c>
      <c r="D87" s="82" t="s">
        <v>1542</v>
      </c>
      <c r="E87" s="78">
        <v>0.12</v>
      </c>
      <c r="F87" s="66">
        <v>5.61</v>
      </c>
      <c r="G87" s="78">
        <f t="shared" ref="G87:G100" si="7">F87*3.2808399*0.4535924</f>
        <v>8.3486002882804247</v>
      </c>
      <c r="I87" s="87">
        <v>18</v>
      </c>
      <c r="J87" s="78">
        <v>18</v>
      </c>
      <c r="K87" s="88" t="s">
        <v>1545</v>
      </c>
      <c r="L87" s="78">
        <v>1.5</v>
      </c>
      <c r="M87" s="104">
        <v>265</v>
      </c>
      <c r="N87" s="78">
        <f t="shared" si="4"/>
        <v>394.36347172804142</v>
      </c>
    </row>
    <row r="88" spans="2:14" x14ac:dyDescent="0.2">
      <c r="B88" s="87">
        <v>4</v>
      </c>
      <c r="C88" s="75">
        <v>4.5</v>
      </c>
      <c r="D88" s="76" t="s">
        <v>1544</v>
      </c>
      <c r="E88" s="78">
        <v>0.125</v>
      </c>
      <c r="F88" s="66">
        <v>5.84</v>
      </c>
      <c r="G88" s="78">
        <f t="shared" si="7"/>
        <v>8.6908780184594789</v>
      </c>
      <c r="I88" s="87">
        <v>18</v>
      </c>
      <c r="J88" s="78">
        <v>18</v>
      </c>
      <c r="K88" s="76">
        <v>140</v>
      </c>
      <c r="L88" s="78">
        <v>1.5620000000000001</v>
      </c>
      <c r="M88" s="104">
        <v>275</v>
      </c>
      <c r="N88" s="78">
        <f t="shared" si="4"/>
        <v>409.24511217060899</v>
      </c>
    </row>
    <row r="89" spans="2:14" x14ac:dyDescent="0.2">
      <c r="B89" s="87">
        <v>4</v>
      </c>
      <c r="C89" s="75">
        <v>4.5</v>
      </c>
      <c r="D89" s="76" t="s">
        <v>1544</v>
      </c>
      <c r="E89" s="78">
        <v>0.156</v>
      </c>
      <c r="F89" s="66">
        <v>7.24</v>
      </c>
      <c r="G89" s="78">
        <f t="shared" si="7"/>
        <v>10.774307680418943</v>
      </c>
      <c r="I89" s="87">
        <v>18</v>
      </c>
      <c r="J89" s="78">
        <v>18</v>
      </c>
      <c r="K89" s="76">
        <v>160</v>
      </c>
      <c r="L89" s="78">
        <v>1.7809999999999999</v>
      </c>
      <c r="M89" s="104">
        <v>309</v>
      </c>
      <c r="N89" s="78">
        <f t="shared" si="4"/>
        <v>459.84268967533882</v>
      </c>
    </row>
    <row r="90" spans="2:14" x14ac:dyDescent="0.2">
      <c r="B90" s="87">
        <v>4</v>
      </c>
      <c r="C90" s="75">
        <v>4.5</v>
      </c>
      <c r="D90" s="76" t="s">
        <v>1544</v>
      </c>
      <c r="E90" s="78">
        <v>0.188</v>
      </c>
      <c r="F90" s="66">
        <v>8.56</v>
      </c>
      <c r="G90" s="78">
        <f t="shared" si="7"/>
        <v>12.738684218837866</v>
      </c>
      <c r="I90" s="96" t="s">
        <v>899</v>
      </c>
      <c r="J90" s="89" t="s">
        <v>899</v>
      </c>
      <c r="K90" s="80" t="s">
        <v>899</v>
      </c>
      <c r="L90" s="89" t="s">
        <v>899</v>
      </c>
      <c r="M90" s="105" t="s">
        <v>899</v>
      </c>
      <c r="N90" s="95" t="s">
        <v>899</v>
      </c>
    </row>
    <row r="91" spans="2:14" x14ac:dyDescent="0.2">
      <c r="B91" s="87">
        <v>4</v>
      </c>
      <c r="C91" s="75">
        <v>4.5</v>
      </c>
      <c r="D91" s="76" t="s">
        <v>1544</v>
      </c>
      <c r="E91" s="78">
        <v>0.219</v>
      </c>
      <c r="F91" s="66">
        <v>10.02</v>
      </c>
      <c r="G91" s="78">
        <f t="shared" si="7"/>
        <v>14.911403723452736</v>
      </c>
      <c r="I91" s="87">
        <v>20</v>
      </c>
      <c r="J91" s="78">
        <v>20</v>
      </c>
      <c r="K91" s="76" t="s">
        <v>1549</v>
      </c>
      <c r="L91" s="78">
        <v>0.13400000000000001</v>
      </c>
      <c r="M91" s="104">
        <v>28</v>
      </c>
      <c r="N91" s="78">
        <f t="shared" ref="N91:N115" si="8">M91*3.2808399*0.4535924</f>
        <v>41.668593239189285</v>
      </c>
    </row>
    <row r="92" spans="2:14" x14ac:dyDescent="0.2">
      <c r="B92" s="87">
        <v>4</v>
      </c>
      <c r="C92" s="75">
        <v>4.5</v>
      </c>
      <c r="D92" s="94" t="s">
        <v>1540</v>
      </c>
      <c r="E92" s="78">
        <v>0.23699999999999999</v>
      </c>
      <c r="F92" s="66">
        <v>10.79</v>
      </c>
      <c r="G92" s="78">
        <f t="shared" si="7"/>
        <v>16.057290037530443</v>
      </c>
      <c r="I92" s="87">
        <v>20</v>
      </c>
      <c r="J92" s="78">
        <v>20</v>
      </c>
      <c r="K92" s="76" t="s">
        <v>1547</v>
      </c>
      <c r="L92" s="78">
        <v>0.16400000000000001</v>
      </c>
      <c r="M92" s="104">
        <v>35</v>
      </c>
      <c r="N92" s="78">
        <f t="shared" si="8"/>
        <v>52.085741548986604</v>
      </c>
    </row>
    <row r="93" spans="2:14" x14ac:dyDescent="0.2">
      <c r="B93" s="87">
        <v>4</v>
      </c>
      <c r="C93" s="75">
        <v>4.5</v>
      </c>
      <c r="D93" s="76" t="s">
        <v>1544</v>
      </c>
      <c r="E93" s="78">
        <v>0.25</v>
      </c>
      <c r="F93" s="66">
        <v>11.35</v>
      </c>
      <c r="G93" s="78">
        <f t="shared" si="7"/>
        <v>16.890661902314225</v>
      </c>
      <c r="I93" s="87">
        <v>20</v>
      </c>
      <c r="J93" s="78">
        <v>20</v>
      </c>
      <c r="K93" s="76" t="s">
        <v>1550</v>
      </c>
      <c r="L93" s="78">
        <v>0.19400000000000001</v>
      </c>
      <c r="M93" s="104">
        <v>41</v>
      </c>
      <c r="N93" s="78">
        <f t="shared" si="8"/>
        <v>61.014725814527161</v>
      </c>
    </row>
    <row r="94" spans="2:14" x14ac:dyDescent="0.2">
      <c r="B94" s="87">
        <v>4</v>
      </c>
      <c r="C94" s="75">
        <v>4.5</v>
      </c>
      <c r="D94" s="76" t="s">
        <v>1544</v>
      </c>
      <c r="E94" s="78">
        <v>0.28100000000000003</v>
      </c>
      <c r="F94" s="66">
        <v>12.67</v>
      </c>
      <c r="G94" s="78">
        <f t="shared" si="7"/>
        <v>18.85503844073315</v>
      </c>
      <c r="I94" s="87">
        <v>20</v>
      </c>
      <c r="J94" s="78">
        <v>20</v>
      </c>
      <c r="K94" s="76" t="s">
        <v>1551</v>
      </c>
      <c r="L94" s="78">
        <v>0.23899999999999999</v>
      </c>
      <c r="M94" s="104">
        <v>50</v>
      </c>
      <c r="N94" s="78">
        <f t="shared" si="8"/>
        <v>74.408202212838006</v>
      </c>
    </row>
    <row r="95" spans="2:14" x14ac:dyDescent="0.2">
      <c r="B95" s="87">
        <v>4</v>
      </c>
      <c r="C95" s="75">
        <v>4.5</v>
      </c>
      <c r="D95" s="76" t="s">
        <v>1544</v>
      </c>
      <c r="E95" s="78">
        <v>0.312</v>
      </c>
      <c r="F95" s="66">
        <v>14</v>
      </c>
      <c r="G95" s="78">
        <f t="shared" si="7"/>
        <v>20.834296619594642</v>
      </c>
      <c r="I95" s="87">
        <v>20</v>
      </c>
      <c r="J95" s="78">
        <v>20</v>
      </c>
      <c r="K95" s="76">
        <v>10</v>
      </c>
      <c r="L95" s="78">
        <v>0.25</v>
      </c>
      <c r="M95" s="104">
        <v>53</v>
      </c>
      <c r="N95" s="78">
        <f t="shared" si="8"/>
        <v>78.872694345608281</v>
      </c>
    </row>
    <row r="96" spans="2:14" x14ac:dyDescent="0.2">
      <c r="B96" s="87">
        <v>4</v>
      </c>
      <c r="C96" s="75">
        <v>4.5</v>
      </c>
      <c r="D96" s="76" t="s">
        <v>1541</v>
      </c>
      <c r="E96" s="78">
        <v>0.33700000000000002</v>
      </c>
      <c r="F96" s="66">
        <v>14.98</v>
      </c>
      <c r="G96" s="78">
        <f t="shared" si="7"/>
        <v>22.292697382966267</v>
      </c>
      <c r="I96" s="87">
        <v>20</v>
      </c>
      <c r="J96" s="78">
        <v>20</v>
      </c>
      <c r="K96" s="76" t="s">
        <v>1544</v>
      </c>
      <c r="L96" s="78">
        <v>0.28100000000000003</v>
      </c>
      <c r="M96" s="104">
        <v>59</v>
      </c>
      <c r="N96" s="78">
        <f t="shared" si="8"/>
        <v>87.801678611148844</v>
      </c>
    </row>
    <row r="97" spans="2:14" x14ac:dyDescent="0.2">
      <c r="B97" s="87">
        <v>4</v>
      </c>
      <c r="C97" s="75">
        <v>4.5</v>
      </c>
      <c r="D97" s="76">
        <v>120</v>
      </c>
      <c r="E97" s="78">
        <v>0.438</v>
      </c>
      <c r="F97" s="66">
        <v>19</v>
      </c>
      <c r="G97" s="78">
        <f t="shared" si="7"/>
        <v>28.275116840878439</v>
      </c>
      <c r="I97" s="87">
        <v>20</v>
      </c>
      <c r="J97" s="78">
        <v>20</v>
      </c>
      <c r="K97" s="76" t="s">
        <v>1544</v>
      </c>
      <c r="L97" s="78">
        <v>0.312</v>
      </c>
      <c r="M97" s="104">
        <v>66</v>
      </c>
      <c r="N97" s="78">
        <f t="shared" si="8"/>
        <v>98.218826920946171</v>
      </c>
    </row>
    <row r="98" spans="2:14" x14ac:dyDescent="0.2">
      <c r="B98" s="87">
        <v>4</v>
      </c>
      <c r="C98" s="75">
        <v>4.5</v>
      </c>
      <c r="D98" s="88" t="s">
        <v>1545</v>
      </c>
      <c r="E98" s="78">
        <v>0.5</v>
      </c>
      <c r="F98" s="66">
        <v>21.36</v>
      </c>
      <c r="G98" s="78">
        <f t="shared" si="7"/>
        <v>31.787183985324397</v>
      </c>
      <c r="I98" s="87">
        <v>20</v>
      </c>
      <c r="J98" s="78">
        <v>20</v>
      </c>
      <c r="K98" s="76" t="s">
        <v>1544</v>
      </c>
      <c r="L98" s="78">
        <v>0.34399999999999997</v>
      </c>
      <c r="M98" s="104">
        <v>72</v>
      </c>
      <c r="N98" s="78">
        <f t="shared" si="8"/>
        <v>107.14781118648672</v>
      </c>
    </row>
    <row r="99" spans="2:14" x14ac:dyDescent="0.2">
      <c r="B99" s="87">
        <v>4</v>
      </c>
      <c r="C99" s="75">
        <v>4.5</v>
      </c>
      <c r="D99" s="76">
        <v>160</v>
      </c>
      <c r="E99" s="78">
        <v>0.53100000000000003</v>
      </c>
      <c r="F99" s="66">
        <v>22.6</v>
      </c>
      <c r="G99" s="78">
        <f t="shared" si="7"/>
        <v>33.632507400202776</v>
      </c>
      <c r="I99" s="87">
        <v>20</v>
      </c>
      <c r="J99" s="78">
        <v>20</v>
      </c>
      <c r="K99" s="94" t="s">
        <v>1540</v>
      </c>
      <c r="L99" s="78">
        <v>0.375</v>
      </c>
      <c r="M99" s="104">
        <v>79</v>
      </c>
      <c r="N99" s="78">
        <f t="shared" si="8"/>
        <v>117.56495949628405</v>
      </c>
    </row>
    <row r="100" spans="2:14" x14ac:dyDescent="0.2">
      <c r="B100" s="87">
        <v>4</v>
      </c>
      <c r="C100" s="75">
        <v>4.5</v>
      </c>
      <c r="D100" s="76" t="s">
        <v>1543</v>
      </c>
      <c r="E100" s="78">
        <v>0.67400000000000004</v>
      </c>
      <c r="F100" s="66">
        <v>27.54</v>
      </c>
      <c r="G100" s="78">
        <f t="shared" si="7"/>
        <v>40.984037778831173</v>
      </c>
      <c r="I100" s="87">
        <v>20</v>
      </c>
      <c r="J100" s="78">
        <v>20</v>
      </c>
      <c r="K100" s="76" t="s">
        <v>1544</v>
      </c>
      <c r="L100" s="78">
        <v>0.40600000000000003</v>
      </c>
      <c r="M100" s="104">
        <v>85</v>
      </c>
      <c r="N100" s="78">
        <f t="shared" si="8"/>
        <v>126.49394376182461</v>
      </c>
    </row>
    <row r="101" spans="2:14" x14ac:dyDescent="0.2">
      <c r="B101" s="70" t="s">
        <v>899</v>
      </c>
      <c r="C101" s="79" t="s">
        <v>899</v>
      </c>
      <c r="D101" s="80" t="s">
        <v>899</v>
      </c>
      <c r="E101" s="89" t="s">
        <v>899</v>
      </c>
      <c r="F101" s="95" t="s">
        <v>899</v>
      </c>
      <c r="G101" s="86"/>
      <c r="I101" s="87">
        <v>20</v>
      </c>
      <c r="J101" s="78">
        <v>20</v>
      </c>
      <c r="K101" s="76" t="s">
        <v>1544</v>
      </c>
      <c r="L101" s="78">
        <v>0.438</v>
      </c>
      <c r="M101" s="104">
        <v>92</v>
      </c>
      <c r="N101" s="78">
        <f t="shared" si="8"/>
        <v>136.91109207162191</v>
      </c>
    </row>
    <row r="102" spans="2:14" x14ac:dyDescent="0.2">
      <c r="B102" s="87">
        <v>5</v>
      </c>
      <c r="C102" s="75">
        <v>5.5629999999999997</v>
      </c>
      <c r="D102" s="82" t="s">
        <v>1542</v>
      </c>
      <c r="E102" s="78">
        <v>0.13400000000000001</v>
      </c>
      <c r="F102" s="66">
        <v>7.77</v>
      </c>
      <c r="G102" s="78">
        <f t="shared" ref="G102:G113" si="9">F102*3.2808399*0.4535924</f>
        <v>11.563034623875026</v>
      </c>
      <c r="I102" s="87">
        <v>20</v>
      </c>
      <c r="J102" s="78">
        <v>20</v>
      </c>
      <c r="K102" s="76" t="s">
        <v>1541</v>
      </c>
      <c r="L102" s="78">
        <v>0.5</v>
      </c>
      <c r="M102" s="104">
        <v>105</v>
      </c>
      <c r="N102" s="78">
        <f t="shared" si="8"/>
        <v>156.25722464695983</v>
      </c>
    </row>
    <row r="103" spans="2:14" x14ac:dyDescent="0.2">
      <c r="B103" s="87">
        <v>5</v>
      </c>
      <c r="C103" s="75">
        <v>5.5629999999999997</v>
      </c>
      <c r="D103" s="76" t="s">
        <v>1544</v>
      </c>
      <c r="E103" s="78">
        <v>0.156</v>
      </c>
      <c r="F103" s="66">
        <v>9.02</v>
      </c>
      <c r="G103" s="78">
        <f t="shared" si="9"/>
        <v>13.423239679195975</v>
      </c>
      <c r="I103" s="87">
        <v>20</v>
      </c>
      <c r="J103" s="78">
        <v>20</v>
      </c>
      <c r="K103" s="76">
        <v>40</v>
      </c>
      <c r="L103" s="78">
        <v>0.59399999999999997</v>
      </c>
      <c r="M103" s="104">
        <v>123</v>
      </c>
      <c r="N103" s="78">
        <f t="shared" si="8"/>
        <v>183.04417744358148</v>
      </c>
    </row>
    <row r="104" spans="2:14" x14ac:dyDescent="0.2">
      <c r="B104" s="87">
        <v>5</v>
      </c>
      <c r="C104" s="75">
        <v>5.5629999999999997</v>
      </c>
      <c r="D104" s="76" t="s">
        <v>1544</v>
      </c>
      <c r="E104" s="78">
        <v>0.188</v>
      </c>
      <c r="F104" s="66">
        <v>10.8</v>
      </c>
      <c r="G104" s="78">
        <f t="shared" si="9"/>
        <v>16.07217167797301</v>
      </c>
      <c r="I104" s="87">
        <v>20</v>
      </c>
      <c r="J104" s="78">
        <v>20</v>
      </c>
      <c r="K104" s="88" t="s">
        <v>1545</v>
      </c>
      <c r="L104" s="78">
        <v>0.625</v>
      </c>
      <c r="M104" s="104">
        <v>129</v>
      </c>
      <c r="N104" s="78">
        <f t="shared" si="8"/>
        <v>191.97316170912205</v>
      </c>
    </row>
    <row r="105" spans="2:14" x14ac:dyDescent="0.2">
      <c r="B105" s="87">
        <v>5</v>
      </c>
      <c r="C105" s="75">
        <v>5.5629999999999997</v>
      </c>
      <c r="D105" s="76" t="s">
        <v>1544</v>
      </c>
      <c r="E105" s="78">
        <v>0.219</v>
      </c>
      <c r="F105" s="66">
        <v>12.51</v>
      </c>
      <c r="G105" s="78">
        <f t="shared" si="9"/>
        <v>18.616932193652069</v>
      </c>
      <c r="I105" s="87">
        <v>20</v>
      </c>
      <c r="J105" s="78">
        <v>20</v>
      </c>
      <c r="K105" s="76">
        <v>60</v>
      </c>
      <c r="L105" s="78">
        <v>0.81200000000000006</v>
      </c>
      <c r="M105" s="104">
        <v>167</v>
      </c>
      <c r="N105" s="78">
        <f t="shared" si="8"/>
        <v>248.52339539087893</v>
      </c>
    </row>
    <row r="106" spans="2:14" x14ac:dyDescent="0.2">
      <c r="B106" s="87">
        <v>5</v>
      </c>
      <c r="C106" s="75">
        <v>5.5629999999999997</v>
      </c>
      <c r="D106" s="94" t="s">
        <v>1540</v>
      </c>
      <c r="E106" s="78">
        <v>0.25800000000000001</v>
      </c>
      <c r="F106" s="66">
        <v>14.62</v>
      </c>
      <c r="G106" s="78">
        <f t="shared" si="9"/>
        <v>21.756958327033832</v>
      </c>
      <c r="I106" s="87">
        <v>20</v>
      </c>
      <c r="J106" s="78">
        <v>20</v>
      </c>
      <c r="K106" s="88" t="s">
        <v>1545</v>
      </c>
      <c r="L106" s="78">
        <v>0.875</v>
      </c>
      <c r="M106" s="104">
        <v>179</v>
      </c>
      <c r="N106" s="78">
        <f t="shared" si="8"/>
        <v>266.38136392196003</v>
      </c>
    </row>
    <row r="107" spans="2:14" x14ac:dyDescent="0.2">
      <c r="B107" s="87">
        <v>5</v>
      </c>
      <c r="C107" s="75">
        <v>5.5629999999999997</v>
      </c>
      <c r="D107" s="76" t="s">
        <v>1544</v>
      </c>
      <c r="E107" s="78">
        <v>0.28100000000000003</v>
      </c>
      <c r="F107" s="66">
        <v>15.86</v>
      </c>
      <c r="G107" s="78">
        <f t="shared" si="9"/>
        <v>23.602281741912211</v>
      </c>
      <c r="I107" s="87">
        <v>20</v>
      </c>
      <c r="J107" s="78">
        <v>20</v>
      </c>
      <c r="K107" s="88" t="s">
        <v>1545</v>
      </c>
      <c r="L107" s="78">
        <v>1</v>
      </c>
      <c r="M107" s="104">
        <v>203</v>
      </c>
      <c r="N107" s="78">
        <f t="shared" si="8"/>
        <v>302.09730098412234</v>
      </c>
    </row>
    <row r="108" spans="2:14" x14ac:dyDescent="0.2">
      <c r="B108" s="87">
        <v>5</v>
      </c>
      <c r="C108" s="75">
        <v>5.5629999999999997</v>
      </c>
      <c r="D108" s="76" t="s">
        <v>1544</v>
      </c>
      <c r="E108" s="78">
        <v>0.312</v>
      </c>
      <c r="F108" s="66">
        <v>17.510000000000002</v>
      </c>
      <c r="G108" s="78">
        <f t="shared" si="9"/>
        <v>26.057752414935869</v>
      </c>
      <c r="I108" s="87">
        <v>20</v>
      </c>
      <c r="J108" s="78">
        <v>20</v>
      </c>
      <c r="K108" s="76">
        <v>80</v>
      </c>
      <c r="L108" s="78">
        <v>1.0309999999999999</v>
      </c>
      <c r="M108" s="104">
        <v>209</v>
      </c>
      <c r="N108" s="78">
        <f t="shared" si="8"/>
        <v>311.02628524966286</v>
      </c>
    </row>
    <row r="109" spans="2:14" x14ac:dyDescent="0.2">
      <c r="B109" s="87">
        <v>5</v>
      </c>
      <c r="C109" s="75">
        <v>5.5629999999999997</v>
      </c>
      <c r="D109" s="76" t="s">
        <v>1544</v>
      </c>
      <c r="E109" s="78">
        <v>0.34399999999999997</v>
      </c>
      <c r="F109" s="66">
        <v>19.190000000000001</v>
      </c>
      <c r="G109" s="78">
        <f t="shared" si="9"/>
        <v>28.55786800928723</v>
      </c>
      <c r="I109" s="87">
        <v>20</v>
      </c>
      <c r="J109" s="78">
        <v>20</v>
      </c>
      <c r="K109" s="88" t="s">
        <v>1545</v>
      </c>
      <c r="L109" s="78">
        <v>1.125</v>
      </c>
      <c r="M109" s="104">
        <v>227</v>
      </c>
      <c r="N109" s="78">
        <f t="shared" si="8"/>
        <v>337.81323804628454</v>
      </c>
    </row>
    <row r="110" spans="2:14" x14ac:dyDescent="0.2">
      <c r="B110" s="87">
        <v>5</v>
      </c>
      <c r="C110" s="75">
        <v>5.5629999999999997</v>
      </c>
      <c r="D110" s="76" t="s">
        <v>1541</v>
      </c>
      <c r="E110" s="78">
        <v>0.375</v>
      </c>
      <c r="F110" s="66">
        <v>20.78</v>
      </c>
      <c r="G110" s="78">
        <f t="shared" si="9"/>
        <v>30.924048839655477</v>
      </c>
      <c r="I110" s="87">
        <v>20</v>
      </c>
      <c r="J110" s="78">
        <v>20</v>
      </c>
      <c r="K110" s="88" t="s">
        <v>1545</v>
      </c>
      <c r="L110" s="78">
        <v>1.25</v>
      </c>
      <c r="M110" s="104">
        <v>250</v>
      </c>
      <c r="N110" s="78">
        <f t="shared" si="8"/>
        <v>372.04101106419</v>
      </c>
    </row>
    <row r="111" spans="2:14" x14ac:dyDescent="0.2">
      <c r="B111" s="87">
        <v>5</v>
      </c>
      <c r="C111" s="75">
        <v>5.5629999999999997</v>
      </c>
      <c r="D111" s="76">
        <v>120</v>
      </c>
      <c r="E111" s="78">
        <v>0.5</v>
      </c>
      <c r="F111" s="66">
        <v>27.1</v>
      </c>
      <c r="G111" s="78">
        <f t="shared" si="9"/>
        <v>40.329245599358202</v>
      </c>
      <c r="I111" s="87">
        <v>20</v>
      </c>
      <c r="J111" s="78">
        <v>20</v>
      </c>
      <c r="K111" s="76">
        <v>100</v>
      </c>
      <c r="L111" s="78">
        <v>1.2809999999999999</v>
      </c>
      <c r="M111" s="104">
        <v>256</v>
      </c>
      <c r="N111" s="78">
        <f t="shared" si="8"/>
        <v>380.96999532973058</v>
      </c>
    </row>
    <row r="112" spans="2:14" x14ac:dyDescent="0.2">
      <c r="B112" s="87">
        <v>5</v>
      </c>
      <c r="C112" s="75">
        <v>5.5629999999999997</v>
      </c>
      <c r="D112" s="76">
        <v>160</v>
      </c>
      <c r="E112" s="78">
        <v>0.625</v>
      </c>
      <c r="F112" s="66">
        <v>32.96</v>
      </c>
      <c r="G112" s="78">
        <f t="shared" si="9"/>
        <v>49.049886898702816</v>
      </c>
      <c r="I112" s="87">
        <v>20</v>
      </c>
      <c r="J112" s="78">
        <v>20</v>
      </c>
      <c r="K112" s="88" t="s">
        <v>1545</v>
      </c>
      <c r="L112" s="78">
        <v>1.375</v>
      </c>
      <c r="M112" s="104">
        <v>274</v>
      </c>
      <c r="N112" s="78">
        <f t="shared" si="8"/>
        <v>407.75694812635226</v>
      </c>
    </row>
    <row r="113" spans="2:14" x14ac:dyDescent="0.2">
      <c r="B113" s="87">
        <v>5</v>
      </c>
      <c r="C113" s="75">
        <v>5.5629999999999997</v>
      </c>
      <c r="D113" s="76" t="s">
        <v>1543</v>
      </c>
      <c r="E113" s="78">
        <v>0.75</v>
      </c>
      <c r="F113" s="66">
        <v>38.549999999999997</v>
      </c>
      <c r="G113" s="78">
        <f t="shared" si="9"/>
        <v>57.368723906098097</v>
      </c>
      <c r="I113" s="87">
        <v>20</v>
      </c>
      <c r="J113" s="78">
        <v>20</v>
      </c>
      <c r="K113" s="76">
        <v>120</v>
      </c>
      <c r="L113" s="78">
        <v>1.5</v>
      </c>
      <c r="M113" s="104">
        <v>297</v>
      </c>
      <c r="N113" s="78">
        <f t="shared" si="8"/>
        <v>441.98472114425772</v>
      </c>
    </row>
    <row r="114" spans="2:14" x14ac:dyDescent="0.2">
      <c r="B114" s="70" t="s">
        <v>899</v>
      </c>
      <c r="C114" s="79" t="s">
        <v>899</v>
      </c>
      <c r="D114" s="80" t="s">
        <v>899</v>
      </c>
      <c r="E114" s="89" t="s">
        <v>899</v>
      </c>
      <c r="F114" s="95" t="s">
        <v>899</v>
      </c>
      <c r="G114" s="86"/>
      <c r="I114" s="87">
        <v>20</v>
      </c>
      <c r="J114" s="78">
        <v>20</v>
      </c>
      <c r="K114" s="76">
        <v>140</v>
      </c>
      <c r="L114" s="78">
        <v>1.75</v>
      </c>
      <c r="M114" s="104">
        <v>342</v>
      </c>
      <c r="N114" s="78">
        <f t="shared" si="8"/>
        <v>508.95210313581202</v>
      </c>
    </row>
    <row r="115" spans="2:14" x14ac:dyDescent="0.2">
      <c r="B115" s="87">
        <v>6</v>
      </c>
      <c r="C115" s="75">
        <v>6.625</v>
      </c>
      <c r="D115" s="76" t="s">
        <v>1546</v>
      </c>
      <c r="E115" s="78">
        <v>0.104</v>
      </c>
      <c r="F115" s="66">
        <v>7.25</v>
      </c>
      <c r="G115" s="78">
        <f t="shared" ref="G115:G131" si="10">F115*3.2808399*0.4535924</f>
        <v>10.78918932086151</v>
      </c>
      <c r="I115" s="87">
        <v>20</v>
      </c>
      <c r="J115" s="78">
        <v>20</v>
      </c>
      <c r="K115" s="76">
        <v>160</v>
      </c>
      <c r="L115" s="78">
        <v>1.9690000000000001</v>
      </c>
      <c r="M115" s="104">
        <v>379</v>
      </c>
      <c r="N115" s="78">
        <f t="shared" si="8"/>
        <v>564.01417277331211</v>
      </c>
    </row>
    <row r="116" spans="2:14" x14ac:dyDescent="0.2">
      <c r="B116" s="87">
        <v>6</v>
      </c>
      <c r="C116" s="75">
        <v>6.625</v>
      </c>
      <c r="D116" s="76" t="s">
        <v>1542</v>
      </c>
      <c r="E116" s="78">
        <v>0.13400000000000001</v>
      </c>
      <c r="F116" s="66">
        <v>9.2899999999999991</v>
      </c>
      <c r="G116" s="78">
        <f t="shared" si="10"/>
        <v>13.8250439711453</v>
      </c>
      <c r="I116" s="70" t="s">
        <v>899</v>
      </c>
      <c r="J116" s="79" t="s">
        <v>899</v>
      </c>
      <c r="K116" s="80" t="s">
        <v>899</v>
      </c>
      <c r="L116" s="89" t="s">
        <v>899</v>
      </c>
      <c r="M116" s="105" t="s">
        <v>899</v>
      </c>
      <c r="N116" s="95" t="s">
        <v>899</v>
      </c>
    </row>
    <row r="117" spans="2:14" x14ac:dyDescent="0.2">
      <c r="B117" s="87">
        <v>6</v>
      </c>
      <c r="C117" s="75">
        <v>6.625</v>
      </c>
      <c r="D117" s="76" t="s">
        <v>1547</v>
      </c>
      <c r="E117" s="78">
        <v>0.16400000000000001</v>
      </c>
      <c r="F117" s="66">
        <v>11.33</v>
      </c>
      <c r="G117" s="78">
        <f t="shared" si="10"/>
        <v>16.860898621429094</v>
      </c>
      <c r="I117" s="87">
        <v>22</v>
      </c>
      <c r="J117" s="78">
        <v>22</v>
      </c>
      <c r="K117" s="76" t="s">
        <v>1547</v>
      </c>
      <c r="L117" s="78">
        <v>0.16400000000000001</v>
      </c>
      <c r="M117" s="104">
        <v>38</v>
      </c>
      <c r="N117" s="78">
        <f t="shared" ref="N117:N135" si="11">M117*3.2808399*0.4535924</f>
        <v>56.550233681756879</v>
      </c>
    </row>
    <row r="118" spans="2:14" x14ac:dyDescent="0.2">
      <c r="B118" s="87">
        <v>6</v>
      </c>
      <c r="C118" s="75">
        <v>6.625</v>
      </c>
      <c r="D118" s="76" t="s">
        <v>1544</v>
      </c>
      <c r="E118" s="78">
        <v>0.188</v>
      </c>
      <c r="F118" s="66">
        <v>12.93</v>
      </c>
      <c r="G118" s="78">
        <f t="shared" si="10"/>
        <v>19.241961092239908</v>
      </c>
      <c r="I118" s="87">
        <v>22</v>
      </c>
      <c r="J118" s="78">
        <v>22</v>
      </c>
      <c r="K118" s="76" t="s">
        <v>1550</v>
      </c>
      <c r="L118" s="78">
        <v>0.19400000000000001</v>
      </c>
      <c r="M118" s="104">
        <v>45</v>
      </c>
      <c r="N118" s="78">
        <f t="shared" si="11"/>
        <v>66.967381991554205</v>
      </c>
    </row>
    <row r="119" spans="2:14" x14ac:dyDescent="0.2">
      <c r="B119" s="87">
        <v>6</v>
      </c>
      <c r="C119" s="75">
        <v>6.625</v>
      </c>
      <c r="D119" s="76" t="s">
        <v>1548</v>
      </c>
      <c r="E119" s="78">
        <v>0.19400000000000001</v>
      </c>
      <c r="F119" s="66">
        <v>13.34</v>
      </c>
      <c r="G119" s="78">
        <f t="shared" si="10"/>
        <v>19.85210835038518</v>
      </c>
      <c r="I119" s="87">
        <v>22</v>
      </c>
      <c r="J119" s="78">
        <v>22</v>
      </c>
      <c r="K119" s="76" t="s">
        <v>1551</v>
      </c>
      <c r="L119" s="78">
        <v>0.23899999999999999</v>
      </c>
      <c r="M119" s="104">
        <v>56</v>
      </c>
      <c r="N119" s="78">
        <f t="shared" si="11"/>
        <v>83.33718647837857</v>
      </c>
    </row>
    <row r="120" spans="2:14" x14ac:dyDescent="0.2">
      <c r="B120" s="87">
        <v>6</v>
      </c>
      <c r="C120" s="75">
        <v>6.625</v>
      </c>
      <c r="D120" s="76" t="s">
        <v>1544</v>
      </c>
      <c r="E120" s="78">
        <v>0.219</v>
      </c>
      <c r="F120" s="66">
        <v>15.02</v>
      </c>
      <c r="G120" s="78">
        <f t="shared" si="10"/>
        <v>22.352223944736537</v>
      </c>
      <c r="I120" s="87">
        <v>22</v>
      </c>
      <c r="J120" s="78">
        <v>22</v>
      </c>
      <c r="K120" s="76" t="s">
        <v>1544</v>
      </c>
      <c r="L120" s="78">
        <v>0.25</v>
      </c>
      <c r="M120" s="104">
        <v>58</v>
      </c>
      <c r="N120" s="78">
        <f t="shared" si="11"/>
        <v>86.313514566892081</v>
      </c>
    </row>
    <row r="121" spans="2:14" x14ac:dyDescent="0.2">
      <c r="B121" s="87">
        <v>6</v>
      </c>
      <c r="C121" s="75">
        <v>6.625</v>
      </c>
      <c r="D121" s="76" t="s">
        <v>1544</v>
      </c>
      <c r="E121" s="78">
        <v>0.25</v>
      </c>
      <c r="F121" s="66">
        <v>17.02</v>
      </c>
      <c r="G121" s="78">
        <f t="shared" si="10"/>
        <v>25.328552033250055</v>
      </c>
      <c r="I121" s="87">
        <v>22</v>
      </c>
      <c r="J121" s="78">
        <v>22</v>
      </c>
      <c r="K121" s="76" t="s">
        <v>1544</v>
      </c>
      <c r="L121" s="78">
        <v>0.28100000000000003</v>
      </c>
      <c r="M121" s="104">
        <v>65</v>
      </c>
      <c r="N121" s="78">
        <f t="shared" si="11"/>
        <v>96.730662876689408</v>
      </c>
    </row>
    <row r="122" spans="2:14" x14ac:dyDescent="0.2">
      <c r="B122" s="87">
        <v>6</v>
      </c>
      <c r="C122" s="75">
        <v>6.625</v>
      </c>
      <c r="D122" s="76" t="s">
        <v>1544</v>
      </c>
      <c r="E122" s="78">
        <v>0.27700000000000002</v>
      </c>
      <c r="F122" s="66">
        <v>18.86</v>
      </c>
      <c r="G122" s="78">
        <f t="shared" si="10"/>
        <v>28.066773874682493</v>
      </c>
      <c r="I122" s="87">
        <v>22</v>
      </c>
      <c r="J122" s="78">
        <v>22</v>
      </c>
      <c r="K122" s="76" t="s">
        <v>1544</v>
      </c>
      <c r="L122" s="78">
        <v>0.312</v>
      </c>
      <c r="M122" s="104">
        <v>72</v>
      </c>
      <c r="N122" s="78">
        <f t="shared" si="11"/>
        <v>107.14781118648672</v>
      </c>
    </row>
    <row r="123" spans="2:14" x14ac:dyDescent="0.2">
      <c r="B123" s="87">
        <v>6</v>
      </c>
      <c r="C123" s="75">
        <v>6.625</v>
      </c>
      <c r="D123" s="94" t="s">
        <v>1540</v>
      </c>
      <c r="E123" s="78">
        <v>0.28000000000000003</v>
      </c>
      <c r="F123" s="66">
        <v>18.97</v>
      </c>
      <c r="G123" s="78">
        <f t="shared" si="10"/>
        <v>28.230471919550737</v>
      </c>
      <c r="I123" s="87">
        <v>22</v>
      </c>
      <c r="J123" s="78">
        <v>22</v>
      </c>
      <c r="K123" s="76" t="s">
        <v>1544</v>
      </c>
      <c r="L123" s="78">
        <v>0.34399999999999997</v>
      </c>
      <c r="M123" s="104">
        <v>80</v>
      </c>
      <c r="N123" s="78">
        <f t="shared" si="11"/>
        <v>119.05312354054081</v>
      </c>
    </row>
    <row r="124" spans="2:14" x14ac:dyDescent="0.2">
      <c r="B124" s="87">
        <v>6</v>
      </c>
      <c r="C124" s="75">
        <v>6.625</v>
      </c>
      <c r="D124" s="76" t="s">
        <v>1544</v>
      </c>
      <c r="E124" s="78">
        <v>0.312</v>
      </c>
      <c r="F124" s="66">
        <v>21.05</v>
      </c>
      <c r="G124" s="78">
        <f t="shared" si="10"/>
        <v>31.325853131604802</v>
      </c>
      <c r="I124" s="87">
        <v>22</v>
      </c>
      <c r="J124" s="78">
        <v>22</v>
      </c>
      <c r="K124" s="76" t="s">
        <v>1544</v>
      </c>
      <c r="L124" s="78">
        <v>0.375</v>
      </c>
      <c r="M124" s="104">
        <v>87</v>
      </c>
      <c r="N124" s="78">
        <f t="shared" si="11"/>
        <v>129.47027185033812</v>
      </c>
    </row>
    <row r="125" spans="2:14" x14ac:dyDescent="0.2">
      <c r="B125" s="87">
        <v>6</v>
      </c>
      <c r="C125" s="75">
        <v>6.625</v>
      </c>
      <c r="D125" s="76" t="s">
        <v>1544</v>
      </c>
      <c r="E125" s="78">
        <v>0.34399999999999997</v>
      </c>
      <c r="F125" s="66">
        <v>23.09</v>
      </c>
      <c r="G125" s="78">
        <f t="shared" si="10"/>
        <v>34.36170778188859</v>
      </c>
      <c r="I125" s="87">
        <v>22</v>
      </c>
      <c r="J125" s="78">
        <v>22</v>
      </c>
      <c r="K125" s="76" t="s">
        <v>1544</v>
      </c>
      <c r="L125" s="78">
        <v>0.40600000000000003</v>
      </c>
      <c r="M125" s="104">
        <v>94</v>
      </c>
      <c r="N125" s="78">
        <f t="shared" si="11"/>
        <v>139.88742016013546</v>
      </c>
    </row>
    <row r="126" spans="2:14" x14ac:dyDescent="0.2">
      <c r="B126" s="87">
        <v>6</v>
      </c>
      <c r="C126" s="75">
        <v>6.625</v>
      </c>
      <c r="D126" s="76" t="s">
        <v>1544</v>
      </c>
      <c r="E126" s="78">
        <v>0.375</v>
      </c>
      <c r="F126" s="66">
        <v>25.1</v>
      </c>
      <c r="G126" s="78">
        <f t="shared" si="10"/>
        <v>37.352917510844676</v>
      </c>
      <c r="I126" s="87">
        <v>22</v>
      </c>
      <c r="J126" s="78">
        <v>22</v>
      </c>
      <c r="K126" s="76" t="s">
        <v>1544</v>
      </c>
      <c r="L126" s="78">
        <v>0.438</v>
      </c>
      <c r="M126" s="104">
        <v>101</v>
      </c>
      <c r="N126" s="78">
        <f t="shared" si="11"/>
        <v>150.30456846993278</v>
      </c>
    </row>
    <row r="127" spans="2:14" x14ac:dyDescent="0.2">
      <c r="B127" s="87">
        <v>6</v>
      </c>
      <c r="C127" s="75">
        <v>6.625</v>
      </c>
      <c r="D127" s="76" t="s">
        <v>1541</v>
      </c>
      <c r="E127" s="78">
        <v>0.432</v>
      </c>
      <c r="F127" s="66">
        <v>28.57</v>
      </c>
      <c r="G127" s="78">
        <f t="shared" si="10"/>
        <v>42.516846744415638</v>
      </c>
      <c r="I127" s="87">
        <v>22</v>
      </c>
      <c r="J127" s="78">
        <v>22</v>
      </c>
      <c r="K127" s="76" t="s">
        <v>1544</v>
      </c>
      <c r="L127" s="78">
        <v>0.5</v>
      </c>
      <c r="M127" s="104">
        <v>115</v>
      </c>
      <c r="N127" s="78">
        <f t="shared" si="11"/>
        <v>171.13886508952743</v>
      </c>
    </row>
    <row r="128" spans="2:14" x14ac:dyDescent="0.2">
      <c r="B128" s="87">
        <v>6</v>
      </c>
      <c r="C128" s="75">
        <v>6.625</v>
      </c>
      <c r="D128" s="88" t="s">
        <v>1545</v>
      </c>
      <c r="E128" s="78">
        <v>0.5</v>
      </c>
      <c r="F128" s="66">
        <v>32.79</v>
      </c>
      <c r="G128" s="78">
        <f t="shared" si="10"/>
        <v>48.796899011179157</v>
      </c>
      <c r="I128" s="87">
        <v>22</v>
      </c>
      <c r="J128" s="78">
        <v>22</v>
      </c>
      <c r="K128" s="88" t="s">
        <v>1545</v>
      </c>
      <c r="L128" s="78">
        <v>0.625</v>
      </c>
      <c r="M128" s="104">
        <v>143</v>
      </c>
      <c r="N128" s="78">
        <f t="shared" si="11"/>
        <v>212.80745832871671</v>
      </c>
    </row>
    <row r="129" spans="2:14" x14ac:dyDescent="0.2">
      <c r="B129" s="87">
        <v>6</v>
      </c>
      <c r="C129" s="75">
        <v>6.625</v>
      </c>
      <c r="D129" s="76">
        <v>120</v>
      </c>
      <c r="E129" s="78">
        <v>0.56200000000000006</v>
      </c>
      <c r="F129" s="66">
        <v>36.4</v>
      </c>
      <c r="G129" s="78">
        <f t="shared" si="10"/>
        <v>54.169171210946068</v>
      </c>
      <c r="I129" s="87">
        <v>22</v>
      </c>
      <c r="J129" s="78">
        <v>22</v>
      </c>
      <c r="K129" s="88" t="s">
        <v>1545</v>
      </c>
      <c r="L129" s="78">
        <v>0.75</v>
      </c>
      <c r="M129" s="104">
        <v>170</v>
      </c>
      <c r="N129" s="78">
        <f t="shared" si="11"/>
        <v>252.98788752364922</v>
      </c>
    </row>
    <row r="130" spans="2:14" x14ac:dyDescent="0.2">
      <c r="B130" s="87">
        <v>6</v>
      </c>
      <c r="C130" s="75">
        <v>6.625</v>
      </c>
      <c r="D130" s="76">
        <v>160</v>
      </c>
      <c r="E130" s="78">
        <v>0.71899999999999997</v>
      </c>
      <c r="F130" s="66">
        <v>45.3</v>
      </c>
      <c r="G130" s="78">
        <f t="shared" si="10"/>
        <v>67.413831204831226</v>
      </c>
      <c r="I130" s="87">
        <v>22</v>
      </c>
      <c r="J130" s="78">
        <v>22</v>
      </c>
      <c r="K130" s="88" t="s">
        <v>1545</v>
      </c>
      <c r="L130" s="78">
        <v>0.875</v>
      </c>
      <c r="M130" s="104">
        <v>198</v>
      </c>
      <c r="N130" s="78">
        <f t="shared" si="11"/>
        <v>294.6564807628385</v>
      </c>
    </row>
    <row r="131" spans="2:14" x14ac:dyDescent="0.2">
      <c r="B131" s="87">
        <v>6</v>
      </c>
      <c r="C131" s="75">
        <v>6.625</v>
      </c>
      <c r="D131" s="76" t="s">
        <v>1543</v>
      </c>
      <c r="E131" s="78">
        <v>0.86399999999999999</v>
      </c>
      <c r="F131" s="66">
        <v>53.16</v>
      </c>
      <c r="G131" s="78">
        <f t="shared" si="10"/>
        <v>79.110800592689358</v>
      </c>
      <c r="I131" s="87">
        <v>22</v>
      </c>
      <c r="J131" s="78">
        <v>22</v>
      </c>
      <c r="K131" s="88" t="s">
        <v>1545</v>
      </c>
      <c r="L131" s="78">
        <v>1</v>
      </c>
      <c r="M131" s="104">
        <v>224</v>
      </c>
      <c r="N131" s="78">
        <f t="shared" si="11"/>
        <v>333.34874591351428</v>
      </c>
    </row>
    <row r="132" spans="2:14" x14ac:dyDescent="0.2">
      <c r="B132" s="70" t="s">
        <v>899</v>
      </c>
      <c r="C132" s="79" t="s">
        <v>899</v>
      </c>
      <c r="D132" s="80" t="s">
        <v>899</v>
      </c>
      <c r="E132" s="89" t="s">
        <v>899</v>
      </c>
      <c r="F132" s="95" t="s">
        <v>899</v>
      </c>
      <c r="G132" s="86"/>
      <c r="I132" s="87">
        <v>22</v>
      </c>
      <c r="J132" s="78">
        <v>22</v>
      </c>
      <c r="K132" s="88" t="s">
        <v>1545</v>
      </c>
      <c r="L132" s="78">
        <v>1.125</v>
      </c>
      <c r="M132" s="104">
        <v>251</v>
      </c>
      <c r="N132" s="78">
        <f t="shared" si="11"/>
        <v>373.52917510844679</v>
      </c>
    </row>
    <row r="133" spans="2:14" x14ac:dyDescent="0.2">
      <c r="B133" s="87">
        <v>8</v>
      </c>
      <c r="C133" s="75">
        <v>8.625</v>
      </c>
      <c r="D133" s="76" t="s">
        <v>1546</v>
      </c>
      <c r="E133" s="78">
        <v>0.104</v>
      </c>
      <c r="F133" s="66">
        <v>9.4700000000000006</v>
      </c>
      <c r="G133" s="78">
        <f t="shared" ref="G133:G156" si="12">F133*3.2808399*0.4535924</f>
        <v>14.092913499111518</v>
      </c>
      <c r="I133" s="87">
        <v>22</v>
      </c>
      <c r="J133" s="78">
        <v>22</v>
      </c>
      <c r="K133" s="88" t="s">
        <v>1545</v>
      </c>
      <c r="L133" s="78">
        <v>1.25</v>
      </c>
      <c r="M133" s="104">
        <v>277</v>
      </c>
      <c r="N133" s="78">
        <f t="shared" si="11"/>
        <v>412.22144025912252</v>
      </c>
    </row>
    <row r="134" spans="2:14" x14ac:dyDescent="0.2">
      <c r="B134" s="87">
        <v>8</v>
      </c>
      <c r="C134" s="75">
        <v>8.625</v>
      </c>
      <c r="D134" s="76" t="s">
        <v>1549</v>
      </c>
      <c r="E134" s="78">
        <v>0.13400000000000001</v>
      </c>
      <c r="F134" s="66">
        <v>12.16</v>
      </c>
      <c r="G134" s="78">
        <f t="shared" si="12"/>
        <v>18.096074778162201</v>
      </c>
      <c r="I134" s="87">
        <v>22</v>
      </c>
      <c r="J134" s="78">
        <v>22</v>
      </c>
      <c r="K134" s="88" t="s">
        <v>1545</v>
      </c>
      <c r="L134" s="78">
        <v>1.375</v>
      </c>
      <c r="M134" s="104">
        <v>303</v>
      </c>
      <c r="N134" s="78">
        <f t="shared" si="11"/>
        <v>450.9137054097983</v>
      </c>
    </row>
    <row r="135" spans="2:14" x14ac:dyDescent="0.2">
      <c r="B135" s="87">
        <v>8</v>
      </c>
      <c r="C135" s="75">
        <v>8.625</v>
      </c>
      <c r="D135" s="76" t="s">
        <v>1542</v>
      </c>
      <c r="E135" s="78">
        <v>0.14799999999999999</v>
      </c>
      <c r="F135" s="66">
        <v>13.4</v>
      </c>
      <c r="G135" s="78">
        <f t="shared" si="12"/>
        <v>19.941398193040587</v>
      </c>
      <c r="I135" s="87">
        <v>22</v>
      </c>
      <c r="J135" s="78">
        <v>22</v>
      </c>
      <c r="K135" s="88" t="s">
        <v>1545</v>
      </c>
      <c r="L135" s="78">
        <v>1.5</v>
      </c>
      <c r="M135" s="104">
        <v>329</v>
      </c>
      <c r="N135" s="78">
        <f t="shared" si="11"/>
        <v>489.60597056047408</v>
      </c>
    </row>
    <row r="136" spans="2:14" x14ac:dyDescent="0.2">
      <c r="B136" s="87">
        <v>8</v>
      </c>
      <c r="C136" s="75">
        <v>8.625</v>
      </c>
      <c r="D136" s="76" t="s">
        <v>1547</v>
      </c>
      <c r="E136" s="78">
        <v>0.16400000000000001</v>
      </c>
      <c r="F136" s="66">
        <v>14.83</v>
      </c>
      <c r="G136" s="78">
        <f t="shared" si="12"/>
        <v>22.069472776327753</v>
      </c>
      <c r="I136" s="70" t="s">
        <v>899</v>
      </c>
      <c r="J136" s="79" t="s">
        <v>899</v>
      </c>
      <c r="K136" s="80" t="s">
        <v>899</v>
      </c>
      <c r="L136" s="89" t="s">
        <v>899</v>
      </c>
      <c r="M136" s="86" t="s">
        <v>899</v>
      </c>
      <c r="N136" s="86"/>
    </row>
    <row r="137" spans="2:14" x14ac:dyDescent="0.2">
      <c r="B137" s="87">
        <v>8</v>
      </c>
      <c r="C137" s="75">
        <v>8.625</v>
      </c>
      <c r="D137" s="76" t="s">
        <v>1544</v>
      </c>
      <c r="E137" s="78">
        <v>0.188</v>
      </c>
      <c r="F137" s="66">
        <v>16.899999999999999</v>
      </c>
      <c r="G137" s="78">
        <f t="shared" si="12"/>
        <v>25.149972347939244</v>
      </c>
      <c r="I137" s="87">
        <v>24</v>
      </c>
      <c r="J137" s="78">
        <v>24</v>
      </c>
      <c r="K137" s="76" t="s">
        <v>1547</v>
      </c>
      <c r="L137" s="78">
        <v>0.16400000000000001</v>
      </c>
      <c r="M137" s="104">
        <v>42</v>
      </c>
      <c r="N137" s="78">
        <f t="shared" ref="N137:N163" si="13">M137*3.2808399*0.4535924</f>
        <v>62.502889858783924</v>
      </c>
    </row>
    <row r="138" spans="2:14" x14ac:dyDescent="0.2">
      <c r="B138" s="87">
        <v>8</v>
      </c>
      <c r="C138" s="75">
        <v>8.625</v>
      </c>
      <c r="D138" s="76" t="s">
        <v>1550</v>
      </c>
      <c r="E138" s="78">
        <v>0.19400000000000001</v>
      </c>
      <c r="F138" s="66">
        <v>17.48</v>
      </c>
      <c r="G138" s="78">
        <f t="shared" si="12"/>
        <v>26.013107493608167</v>
      </c>
      <c r="I138" s="87">
        <v>24</v>
      </c>
      <c r="J138" s="78">
        <v>24</v>
      </c>
      <c r="K138" s="76" t="s">
        <v>1550</v>
      </c>
      <c r="L138" s="78">
        <v>0.19400000000000001</v>
      </c>
      <c r="M138" s="104">
        <v>49</v>
      </c>
      <c r="N138" s="78">
        <f t="shared" si="13"/>
        <v>72.920038168581243</v>
      </c>
    </row>
    <row r="139" spans="2:14" x14ac:dyDescent="0.2">
      <c r="B139" s="87">
        <v>8</v>
      </c>
      <c r="C139" s="75">
        <v>8.625</v>
      </c>
      <c r="D139" s="76" t="s">
        <v>1544</v>
      </c>
      <c r="E139" s="78">
        <v>0.20300000000000001</v>
      </c>
      <c r="F139" s="66">
        <v>18.3</v>
      </c>
      <c r="G139" s="78">
        <f t="shared" si="12"/>
        <v>27.233402009898711</v>
      </c>
      <c r="I139" s="87">
        <v>24</v>
      </c>
      <c r="J139" s="78">
        <v>24</v>
      </c>
      <c r="K139" s="76" t="s">
        <v>1551</v>
      </c>
      <c r="L139" s="78">
        <v>0.23899999999999999</v>
      </c>
      <c r="M139" s="104">
        <v>61</v>
      </c>
      <c r="N139" s="78">
        <f t="shared" si="13"/>
        <v>90.77800669966237</v>
      </c>
    </row>
    <row r="140" spans="2:14" x14ac:dyDescent="0.2">
      <c r="B140" s="87">
        <v>8</v>
      </c>
      <c r="C140" s="75">
        <v>8.625</v>
      </c>
      <c r="D140" s="76" t="s">
        <v>1544</v>
      </c>
      <c r="E140" s="78">
        <v>0.219</v>
      </c>
      <c r="F140" s="66">
        <v>19.64</v>
      </c>
      <c r="G140" s="78">
        <f t="shared" si="12"/>
        <v>29.227541829202771</v>
      </c>
      <c r="I140" s="87">
        <v>24</v>
      </c>
      <c r="J140" s="78">
        <v>24</v>
      </c>
      <c r="K140" s="76">
        <v>10</v>
      </c>
      <c r="L140" s="78">
        <v>0.25</v>
      </c>
      <c r="M140" s="104">
        <v>63</v>
      </c>
      <c r="N140" s="78">
        <f t="shared" si="13"/>
        <v>93.754334788175896</v>
      </c>
    </row>
    <row r="141" spans="2:14" x14ac:dyDescent="0.2">
      <c r="B141" s="87">
        <v>8</v>
      </c>
      <c r="C141" s="75">
        <v>8.625</v>
      </c>
      <c r="D141" s="76" t="s">
        <v>1551</v>
      </c>
      <c r="E141" s="78">
        <v>0.23899999999999999</v>
      </c>
      <c r="F141" s="66">
        <v>21.42</v>
      </c>
      <c r="G141" s="78">
        <f t="shared" si="12"/>
        <v>31.876473827979805</v>
      </c>
      <c r="I141" s="87">
        <v>24</v>
      </c>
      <c r="J141" s="78">
        <v>24</v>
      </c>
      <c r="K141" s="76" t="s">
        <v>1544</v>
      </c>
      <c r="L141" s="78">
        <v>0.28100000000000003</v>
      </c>
      <c r="M141" s="104">
        <v>71</v>
      </c>
      <c r="N141" s="78">
        <f t="shared" si="13"/>
        <v>105.65964714222997</v>
      </c>
    </row>
    <row r="142" spans="2:14" x14ac:dyDescent="0.2">
      <c r="B142" s="87">
        <v>8</v>
      </c>
      <c r="C142" s="75">
        <v>8.625</v>
      </c>
      <c r="D142" s="76">
        <v>20</v>
      </c>
      <c r="E142" s="78">
        <v>0.25</v>
      </c>
      <c r="F142" s="66">
        <v>22.4</v>
      </c>
      <c r="G142" s="78">
        <f t="shared" si="12"/>
        <v>33.334874591351422</v>
      </c>
      <c r="I142" s="87">
        <v>24</v>
      </c>
      <c r="J142" s="78">
        <v>24</v>
      </c>
      <c r="K142" s="76" t="s">
        <v>1544</v>
      </c>
      <c r="L142" s="78">
        <v>0.312</v>
      </c>
      <c r="M142" s="104">
        <v>79</v>
      </c>
      <c r="N142" s="78">
        <f t="shared" si="13"/>
        <v>117.56495949628405</v>
      </c>
    </row>
    <row r="143" spans="2:14" x14ac:dyDescent="0.2">
      <c r="B143" s="87">
        <v>8</v>
      </c>
      <c r="C143" s="75">
        <v>8.625</v>
      </c>
      <c r="D143" s="76">
        <v>30</v>
      </c>
      <c r="E143" s="78">
        <v>0.27700000000000002</v>
      </c>
      <c r="F143" s="66">
        <v>24.7</v>
      </c>
      <c r="G143" s="78">
        <f t="shared" si="12"/>
        <v>36.757651893141976</v>
      </c>
      <c r="I143" s="87">
        <v>24</v>
      </c>
      <c r="J143" s="78">
        <v>24</v>
      </c>
      <c r="K143" s="76" t="s">
        <v>1544</v>
      </c>
      <c r="L143" s="78">
        <v>0.34399999999999997</v>
      </c>
      <c r="M143" s="104">
        <v>87</v>
      </c>
      <c r="N143" s="78">
        <f t="shared" si="13"/>
        <v>129.47027185033812</v>
      </c>
    </row>
    <row r="144" spans="2:14" x14ac:dyDescent="0.2">
      <c r="B144" s="87">
        <v>8</v>
      </c>
      <c r="C144" s="75">
        <v>8.625</v>
      </c>
      <c r="D144" s="76" t="s">
        <v>1544</v>
      </c>
      <c r="E144" s="78">
        <v>0.312</v>
      </c>
      <c r="F144" s="66">
        <v>27.72</v>
      </c>
      <c r="G144" s="78">
        <f t="shared" si="12"/>
        <v>41.251907306797385</v>
      </c>
      <c r="I144" s="87">
        <v>24</v>
      </c>
      <c r="J144" s="78">
        <v>24</v>
      </c>
      <c r="K144" s="102" t="s">
        <v>1540</v>
      </c>
      <c r="L144" s="78">
        <v>0.375</v>
      </c>
      <c r="M144" s="104">
        <v>95</v>
      </c>
      <c r="N144" s="78">
        <f t="shared" si="13"/>
        <v>141.37558420439223</v>
      </c>
    </row>
    <row r="145" spans="2:14" x14ac:dyDescent="0.2">
      <c r="B145" s="87">
        <v>8</v>
      </c>
      <c r="C145" s="75">
        <v>8.625</v>
      </c>
      <c r="D145" s="94" t="s">
        <v>1540</v>
      </c>
      <c r="E145" s="78">
        <v>0.32200000000000001</v>
      </c>
      <c r="F145" s="66">
        <v>28.55</v>
      </c>
      <c r="G145" s="78">
        <f t="shared" si="12"/>
        <v>42.487083463530503</v>
      </c>
      <c r="I145" s="87">
        <v>24</v>
      </c>
      <c r="J145" s="78">
        <v>24</v>
      </c>
      <c r="K145" s="76" t="s">
        <v>1544</v>
      </c>
      <c r="L145" s="78">
        <v>0.40600000000000003</v>
      </c>
      <c r="M145" s="104">
        <v>102</v>
      </c>
      <c r="N145" s="78">
        <f t="shared" si="13"/>
        <v>151.79273251418954</v>
      </c>
    </row>
    <row r="146" spans="2:14" x14ac:dyDescent="0.2">
      <c r="B146" s="87">
        <v>8</v>
      </c>
      <c r="C146" s="75">
        <v>8.625</v>
      </c>
      <c r="D146" s="76" t="s">
        <v>1544</v>
      </c>
      <c r="E146" s="78">
        <v>0.34399999999999997</v>
      </c>
      <c r="F146" s="66">
        <v>30.4</v>
      </c>
      <c r="G146" s="78">
        <f t="shared" si="12"/>
        <v>45.240186945405505</v>
      </c>
      <c r="I146" s="87">
        <v>24</v>
      </c>
      <c r="J146" s="78">
        <v>24</v>
      </c>
      <c r="K146" s="76" t="s">
        <v>1544</v>
      </c>
      <c r="L146" s="78">
        <v>0.438</v>
      </c>
      <c r="M146" s="104">
        <v>110</v>
      </c>
      <c r="N146" s="78">
        <f t="shared" si="13"/>
        <v>163.69804486824361</v>
      </c>
    </row>
    <row r="147" spans="2:14" x14ac:dyDescent="0.2">
      <c r="B147" s="87">
        <v>8</v>
      </c>
      <c r="C147" s="75">
        <v>8.625</v>
      </c>
      <c r="D147" s="76" t="s">
        <v>1544</v>
      </c>
      <c r="E147" s="78">
        <v>0.375</v>
      </c>
      <c r="F147" s="66">
        <v>33.1</v>
      </c>
      <c r="G147" s="78">
        <f t="shared" si="12"/>
        <v>49.258229864898759</v>
      </c>
      <c r="I147" s="87">
        <v>24</v>
      </c>
      <c r="J147" s="78">
        <v>24</v>
      </c>
      <c r="K147" s="76" t="s">
        <v>1541</v>
      </c>
      <c r="L147" s="78">
        <v>0.5</v>
      </c>
      <c r="M147" s="104">
        <v>125</v>
      </c>
      <c r="N147" s="78">
        <f t="shared" si="13"/>
        <v>186.020505532095</v>
      </c>
    </row>
    <row r="148" spans="2:14" x14ac:dyDescent="0.2">
      <c r="B148" s="87">
        <v>8</v>
      </c>
      <c r="C148" s="75">
        <v>8.625</v>
      </c>
      <c r="D148" s="76">
        <v>60</v>
      </c>
      <c r="E148" s="78">
        <v>0.40600000000000003</v>
      </c>
      <c r="F148" s="66">
        <v>35.700000000000003</v>
      </c>
      <c r="G148" s="78">
        <f t="shared" si="12"/>
        <v>53.12745637996634</v>
      </c>
      <c r="I148" s="87">
        <v>24</v>
      </c>
      <c r="J148" s="78">
        <v>24</v>
      </c>
      <c r="K148" s="76">
        <v>30</v>
      </c>
      <c r="L148" s="78">
        <v>0.56200000000000006</v>
      </c>
      <c r="M148" s="104">
        <v>141</v>
      </c>
      <c r="N148" s="78">
        <f t="shared" si="13"/>
        <v>209.83113024020315</v>
      </c>
    </row>
    <row r="149" spans="2:14" x14ac:dyDescent="0.2">
      <c r="B149" s="87">
        <v>8</v>
      </c>
      <c r="C149" s="75">
        <v>8.625</v>
      </c>
      <c r="D149" s="76" t="s">
        <v>1544</v>
      </c>
      <c r="E149" s="78">
        <v>0.438</v>
      </c>
      <c r="F149" s="66">
        <v>38.33</v>
      </c>
      <c r="G149" s="78">
        <f t="shared" si="12"/>
        <v>57.041327816361608</v>
      </c>
      <c r="I149" s="87">
        <v>24</v>
      </c>
      <c r="J149" s="78">
        <v>24</v>
      </c>
      <c r="K149" s="88" t="s">
        <v>1545</v>
      </c>
      <c r="L149" s="78">
        <v>0.625</v>
      </c>
      <c r="M149" s="104">
        <v>156</v>
      </c>
      <c r="N149" s="78">
        <f t="shared" si="13"/>
        <v>232.15359090405457</v>
      </c>
    </row>
    <row r="150" spans="2:14" x14ac:dyDescent="0.2">
      <c r="B150" s="87">
        <v>8</v>
      </c>
      <c r="C150" s="75">
        <v>8.625</v>
      </c>
      <c r="D150" s="76" t="s">
        <v>1541</v>
      </c>
      <c r="E150" s="78">
        <v>0.5</v>
      </c>
      <c r="F150" s="66">
        <v>43.39</v>
      </c>
      <c r="G150" s="78">
        <f t="shared" si="12"/>
        <v>64.57143788030082</v>
      </c>
      <c r="I150" s="87">
        <v>24</v>
      </c>
      <c r="J150" s="78">
        <v>24</v>
      </c>
      <c r="K150" s="76">
        <v>40</v>
      </c>
      <c r="L150" s="78">
        <v>0.68799999999999994</v>
      </c>
      <c r="M150" s="104">
        <v>171</v>
      </c>
      <c r="N150" s="78">
        <f t="shared" si="13"/>
        <v>254.47605156790601</v>
      </c>
    </row>
    <row r="151" spans="2:14" x14ac:dyDescent="0.2">
      <c r="B151" s="87">
        <v>8</v>
      </c>
      <c r="C151" s="75">
        <v>8.625</v>
      </c>
      <c r="D151" s="76">
        <v>100</v>
      </c>
      <c r="E151" s="78">
        <v>0.59399999999999997</v>
      </c>
      <c r="F151" s="66">
        <v>50.9</v>
      </c>
      <c r="G151" s="78">
        <f t="shared" si="12"/>
        <v>75.747549852669081</v>
      </c>
      <c r="I151" s="87">
        <v>24</v>
      </c>
      <c r="J151" s="78">
        <v>24</v>
      </c>
      <c r="K151" s="88" t="s">
        <v>1545</v>
      </c>
      <c r="L151" s="78">
        <v>0.75</v>
      </c>
      <c r="M151" s="104">
        <v>186</v>
      </c>
      <c r="N151" s="78">
        <f t="shared" si="13"/>
        <v>276.79851223175734</v>
      </c>
    </row>
    <row r="152" spans="2:14" x14ac:dyDescent="0.2">
      <c r="B152" s="87">
        <v>8</v>
      </c>
      <c r="C152" s="75">
        <v>8.625</v>
      </c>
      <c r="D152" s="88" t="s">
        <v>1545</v>
      </c>
      <c r="E152" s="78">
        <v>0.625</v>
      </c>
      <c r="F152" s="66">
        <v>53.4</v>
      </c>
      <c r="G152" s="78">
        <f t="shared" si="12"/>
        <v>79.467959963310989</v>
      </c>
      <c r="I152" s="87">
        <v>24</v>
      </c>
      <c r="J152" s="78">
        <v>24</v>
      </c>
      <c r="K152" s="88" t="s">
        <v>1545</v>
      </c>
      <c r="L152" s="78">
        <v>0.875</v>
      </c>
      <c r="M152" s="104">
        <v>216</v>
      </c>
      <c r="N152" s="78">
        <f t="shared" si="13"/>
        <v>321.44343355946017</v>
      </c>
    </row>
    <row r="153" spans="2:14" x14ac:dyDescent="0.2">
      <c r="B153" s="87">
        <v>8</v>
      </c>
      <c r="C153" s="75">
        <v>8.625</v>
      </c>
      <c r="D153" s="76">
        <v>120</v>
      </c>
      <c r="E153" s="78">
        <v>0.71899999999999997</v>
      </c>
      <c r="F153" s="66">
        <v>60.7</v>
      </c>
      <c r="G153" s="78">
        <f t="shared" si="12"/>
        <v>90.331557486385336</v>
      </c>
      <c r="I153" s="87">
        <v>24</v>
      </c>
      <c r="J153" s="78">
        <v>24</v>
      </c>
      <c r="K153" s="76">
        <v>60</v>
      </c>
      <c r="L153" s="78">
        <v>0.96899999999999997</v>
      </c>
      <c r="M153" s="104">
        <v>238</v>
      </c>
      <c r="N153" s="78">
        <f t="shared" si="13"/>
        <v>354.1830425331089</v>
      </c>
    </row>
    <row r="154" spans="2:14" x14ac:dyDescent="0.2">
      <c r="B154" s="87">
        <v>8</v>
      </c>
      <c r="C154" s="75">
        <v>8.625</v>
      </c>
      <c r="D154" s="76">
        <v>140</v>
      </c>
      <c r="E154" s="78">
        <v>0.81200000000000006</v>
      </c>
      <c r="F154" s="66">
        <v>67.8</v>
      </c>
      <c r="G154" s="78">
        <f t="shared" si="12"/>
        <v>100.89752220060834</v>
      </c>
      <c r="I154" s="87">
        <v>24</v>
      </c>
      <c r="J154" s="78">
        <v>24</v>
      </c>
      <c r="K154" s="88" t="s">
        <v>1545</v>
      </c>
      <c r="L154" s="78">
        <v>1</v>
      </c>
      <c r="M154" s="104">
        <v>246</v>
      </c>
      <c r="N154" s="78">
        <f t="shared" si="13"/>
        <v>366.08835488716295</v>
      </c>
    </row>
    <row r="155" spans="2:14" x14ac:dyDescent="0.2">
      <c r="B155" s="87">
        <v>8</v>
      </c>
      <c r="C155" s="75">
        <v>8.625</v>
      </c>
      <c r="D155" s="76" t="s">
        <v>1543</v>
      </c>
      <c r="E155" s="78">
        <v>0.875</v>
      </c>
      <c r="F155" s="66">
        <v>72.42</v>
      </c>
      <c r="G155" s="78">
        <f t="shared" si="12"/>
        <v>107.77284008507456</v>
      </c>
      <c r="I155" s="87">
        <v>24</v>
      </c>
      <c r="J155" s="78">
        <v>24</v>
      </c>
      <c r="K155" s="88" t="s">
        <v>1545</v>
      </c>
      <c r="L155" s="78">
        <v>1.125</v>
      </c>
      <c r="M155" s="104">
        <v>275</v>
      </c>
      <c r="N155" s="78">
        <f t="shared" si="13"/>
        <v>409.24511217060899</v>
      </c>
    </row>
    <row r="156" spans="2:14" x14ac:dyDescent="0.2">
      <c r="B156" s="87">
        <v>8</v>
      </c>
      <c r="C156" s="75">
        <v>8.625</v>
      </c>
      <c r="D156" s="76">
        <v>160</v>
      </c>
      <c r="E156" s="78">
        <v>0.90600000000000003</v>
      </c>
      <c r="F156" s="66">
        <v>74.7</v>
      </c>
      <c r="G156" s="78">
        <f t="shared" si="12"/>
        <v>111.16585410597999</v>
      </c>
      <c r="I156" s="87">
        <v>24</v>
      </c>
      <c r="J156" s="78">
        <v>24</v>
      </c>
      <c r="K156" s="76">
        <v>80</v>
      </c>
      <c r="L156" s="78">
        <v>1.2190000000000001</v>
      </c>
      <c r="M156" s="104">
        <v>297</v>
      </c>
      <c r="N156" s="78">
        <f t="shared" si="13"/>
        <v>441.98472114425772</v>
      </c>
    </row>
    <row r="157" spans="2:14" x14ac:dyDescent="0.2">
      <c r="B157" s="70" t="s">
        <v>899</v>
      </c>
      <c r="C157" s="79" t="s">
        <v>899</v>
      </c>
      <c r="D157" s="80" t="s">
        <v>899</v>
      </c>
      <c r="E157" s="89" t="s">
        <v>899</v>
      </c>
      <c r="F157" s="86" t="s">
        <v>899</v>
      </c>
      <c r="G157" s="86"/>
      <c r="I157" s="87">
        <v>24</v>
      </c>
      <c r="J157" s="78">
        <v>24</v>
      </c>
      <c r="K157" s="88" t="s">
        <v>1545</v>
      </c>
      <c r="L157" s="78">
        <v>1.25</v>
      </c>
      <c r="M157" s="104">
        <v>304</v>
      </c>
      <c r="N157" s="78">
        <f t="shared" si="13"/>
        <v>452.40186945405503</v>
      </c>
    </row>
    <row r="158" spans="2:14" x14ac:dyDescent="0.2">
      <c r="B158" s="97">
        <v>10</v>
      </c>
      <c r="C158" s="108">
        <v>10.75</v>
      </c>
      <c r="D158" s="82" t="s">
        <v>1546</v>
      </c>
      <c r="E158" s="99">
        <v>0.104</v>
      </c>
      <c r="F158" s="82">
        <v>11.83</v>
      </c>
      <c r="G158" s="107">
        <f t="shared" ref="G158:G179" si="14">F158*3.2808399*0.4535924</f>
        <v>17.604980643557472</v>
      </c>
      <c r="I158" s="87">
        <v>24</v>
      </c>
      <c r="J158" s="78">
        <v>24</v>
      </c>
      <c r="K158" s="88" t="s">
        <v>1545</v>
      </c>
      <c r="L158" s="78">
        <v>1.375</v>
      </c>
      <c r="M158" s="104">
        <v>332</v>
      </c>
      <c r="N158" s="78">
        <f t="shared" si="13"/>
        <v>494.07046269324439</v>
      </c>
    </row>
    <row r="159" spans="2:14" x14ac:dyDescent="0.2">
      <c r="B159" s="100">
        <v>10</v>
      </c>
      <c r="C159" s="101">
        <v>10.75</v>
      </c>
      <c r="D159" s="75" t="s">
        <v>1549</v>
      </c>
      <c r="E159" s="75">
        <v>0.13400000000000001</v>
      </c>
      <c r="F159" s="77">
        <v>15.21</v>
      </c>
      <c r="G159" s="78">
        <f t="shared" si="14"/>
        <v>22.63497511314532</v>
      </c>
      <c r="I159" s="87">
        <v>24</v>
      </c>
      <c r="J159" s="78">
        <v>24</v>
      </c>
      <c r="K159" s="88" t="s">
        <v>1545</v>
      </c>
      <c r="L159" s="78">
        <v>1.5</v>
      </c>
      <c r="M159" s="104">
        <v>361</v>
      </c>
      <c r="N159" s="78">
        <f t="shared" si="13"/>
        <v>537.22721997669044</v>
      </c>
    </row>
    <row r="160" spans="2:14" x14ac:dyDescent="0.2">
      <c r="B160" s="100">
        <v>10</v>
      </c>
      <c r="C160" s="101">
        <v>10.75</v>
      </c>
      <c r="D160" s="75" t="s">
        <v>1547</v>
      </c>
      <c r="E160" s="75">
        <v>0.16400000000000001</v>
      </c>
      <c r="F160" s="77">
        <v>18.559999999999999</v>
      </c>
      <c r="G160" s="78">
        <f t="shared" si="14"/>
        <v>27.620324661405466</v>
      </c>
      <c r="I160" s="87">
        <v>24</v>
      </c>
      <c r="J160" s="78">
        <v>24</v>
      </c>
      <c r="K160" s="76">
        <v>100</v>
      </c>
      <c r="L160" s="78">
        <v>1.5309999999999999</v>
      </c>
      <c r="M160" s="104">
        <v>367</v>
      </c>
      <c r="N160" s="78">
        <f t="shared" si="13"/>
        <v>546.15620424223096</v>
      </c>
    </row>
    <row r="161" spans="2:14" x14ac:dyDescent="0.2">
      <c r="B161" s="100">
        <v>10</v>
      </c>
      <c r="C161" s="101">
        <v>10.75</v>
      </c>
      <c r="D161" s="75" t="s">
        <v>1542</v>
      </c>
      <c r="E161" s="75">
        <v>0.16500000000000001</v>
      </c>
      <c r="F161" s="77">
        <v>18.649999999999999</v>
      </c>
      <c r="G161" s="78">
        <f t="shared" si="14"/>
        <v>27.754259425388575</v>
      </c>
      <c r="I161" s="87">
        <v>24</v>
      </c>
      <c r="J161" s="78">
        <v>24</v>
      </c>
      <c r="K161" s="76">
        <v>120</v>
      </c>
      <c r="L161" s="78">
        <v>1.8120000000000001</v>
      </c>
      <c r="M161" s="104">
        <v>429</v>
      </c>
      <c r="N161" s="78">
        <f t="shared" si="13"/>
        <v>638.42237498615009</v>
      </c>
    </row>
    <row r="162" spans="2:14" x14ac:dyDescent="0.2">
      <c r="B162" s="100">
        <v>10</v>
      </c>
      <c r="C162" s="101">
        <v>10.75</v>
      </c>
      <c r="D162" s="75" t="s">
        <v>1544</v>
      </c>
      <c r="E162" s="75">
        <v>0.188</v>
      </c>
      <c r="F162" s="77">
        <v>21.12</v>
      </c>
      <c r="G162" s="78">
        <f t="shared" si="14"/>
        <v>31.430024614702777</v>
      </c>
      <c r="I162" s="87">
        <v>24</v>
      </c>
      <c r="J162" s="78">
        <v>24</v>
      </c>
      <c r="K162" s="76">
        <v>140</v>
      </c>
      <c r="L162" s="78">
        <v>2.0619999999999998</v>
      </c>
      <c r="M162" s="104">
        <v>484</v>
      </c>
      <c r="N162" s="78">
        <f t="shared" si="13"/>
        <v>720.27139742027191</v>
      </c>
    </row>
    <row r="163" spans="2:14" x14ac:dyDescent="0.2">
      <c r="B163" s="97">
        <v>10</v>
      </c>
      <c r="C163" s="98">
        <v>10.75</v>
      </c>
      <c r="D163" s="75" t="s">
        <v>1550</v>
      </c>
      <c r="E163" s="75">
        <v>0.19400000000000001</v>
      </c>
      <c r="F163" s="77">
        <v>21.89</v>
      </c>
      <c r="G163" s="78">
        <f t="shared" si="14"/>
        <v>32.57591092878048</v>
      </c>
      <c r="I163" s="87">
        <v>24</v>
      </c>
      <c r="J163" s="78">
        <v>24</v>
      </c>
      <c r="K163" s="76">
        <v>160</v>
      </c>
      <c r="L163" s="78">
        <v>2.3439999999999999</v>
      </c>
      <c r="M163" s="104">
        <v>542</v>
      </c>
      <c r="N163" s="78">
        <f t="shared" si="13"/>
        <v>806.58491198716399</v>
      </c>
    </row>
    <row r="164" spans="2:14" x14ac:dyDescent="0.2">
      <c r="B164" s="100">
        <v>10</v>
      </c>
      <c r="C164" s="101">
        <v>10.75</v>
      </c>
      <c r="D164" s="75" t="s">
        <v>1544</v>
      </c>
      <c r="E164" s="75">
        <v>0.20300000000000001</v>
      </c>
      <c r="F164" s="77">
        <v>22.86</v>
      </c>
      <c r="G164" s="78">
        <f t="shared" si="14"/>
        <v>34.019430051709534</v>
      </c>
      <c r="I164" s="96" t="s">
        <v>899</v>
      </c>
      <c r="J164" s="89" t="s">
        <v>899</v>
      </c>
      <c r="K164" s="80" t="s">
        <v>899</v>
      </c>
      <c r="L164" s="89" t="s">
        <v>899</v>
      </c>
      <c r="M164" s="95" t="s">
        <v>899</v>
      </c>
      <c r="N164" s="95" t="s">
        <v>899</v>
      </c>
    </row>
    <row r="165" spans="2:14" x14ac:dyDescent="0.2">
      <c r="B165" s="100">
        <v>10</v>
      </c>
      <c r="C165" s="101">
        <v>10.75</v>
      </c>
      <c r="D165" s="75" t="s">
        <v>1544</v>
      </c>
      <c r="E165" s="75">
        <v>0.219</v>
      </c>
      <c r="F165" s="66">
        <v>24.6</v>
      </c>
      <c r="G165" s="78">
        <f t="shared" si="14"/>
        <v>36.608835488716302</v>
      </c>
      <c r="I165" s="87">
        <v>26</v>
      </c>
      <c r="J165" s="78">
        <v>26</v>
      </c>
      <c r="K165" s="76" t="s">
        <v>1547</v>
      </c>
      <c r="L165" s="78">
        <v>0.16400000000000001</v>
      </c>
      <c r="M165" s="104">
        <v>45</v>
      </c>
      <c r="N165" s="78">
        <f t="shared" ref="N165:N182" si="15">M165*3.2808399*0.4535924</f>
        <v>66.967381991554205</v>
      </c>
    </row>
    <row r="166" spans="2:14" x14ac:dyDescent="0.2">
      <c r="B166" s="100">
        <v>10</v>
      </c>
      <c r="C166" s="101">
        <v>10.75</v>
      </c>
      <c r="D166" s="82" t="s">
        <v>1551</v>
      </c>
      <c r="E166" s="75">
        <v>0.23899999999999999</v>
      </c>
      <c r="F166" s="66">
        <v>28.05</v>
      </c>
      <c r="G166" s="78">
        <f t="shared" si="14"/>
        <v>41.743001441402122</v>
      </c>
      <c r="I166" s="87">
        <v>26</v>
      </c>
      <c r="J166" s="78">
        <v>26</v>
      </c>
      <c r="K166" s="76" t="s">
        <v>1550</v>
      </c>
      <c r="L166" s="78">
        <v>0.19400000000000001</v>
      </c>
      <c r="M166" s="104">
        <v>54</v>
      </c>
      <c r="N166" s="78">
        <f t="shared" si="15"/>
        <v>80.360858389865044</v>
      </c>
    </row>
    <row r="167" spans="2:14" x14ac:dyDescent="0.2">
      <c r="B167" s="100">
        <v>10</v>
      </c>
      <c r="C167" s="101">
        <v>10.75</v>
      </c>
      <c r="D167" s="75">
        <v>20</v>
      </c>
      <c r="E167" s="78">
        <v>0.25</v>
      </c>
      <c r="F167" s="66">
        <v>28.03</v>
      </c>
      <c r="G167" s="78">
        <f t="shared" si="14"/>
        <v>41.713238160516987</v>
      </c>
      <c r="I167" s="87">
        <v>26</v>
      </c>
      <c r="J167" s="78">
        <v>26</v>
      </c>
      <c r="K167" s="76" t="s">
        <v>1551</v>
      </c>
      <c r="L167" s="78">
        <v>0.23899999999999999</v>
      </c>
      <c r="M167" s="104">
        <v>66</v>
      </c>
      <c r="N167" s="78">
        <f t="shared" si="15"/>
        <v>98.218826920946171</v>
      </c>
    </row>
    <row r="168" spans="2:14" x14ac:dyDescent="0.2">
      <c r="B168" s="100">
        <v>10</v>
      </c>
      <c r="C168" s="101">
        <v>10.75</v>
      </c>
      <c r="D168" s="75" t="s">
        <v>1544</v>
      </c>
      <c r="E168" s="78">
        <v>0.27900000000000003</v>
      </c>
      <c r="F168" s="66">
        <v>31.2</v>
      </c>
      <c r="G168" s="78">
        <f t="shared" si="14"/>
        <v>46.430718180810914</v>
      </c>
      <c r="I168" s="87">
        <v>26</v>
      </c>
      <c r="J168" s="78">
        <v>26</v>
      </c>
      <c r="K168" s="76" t="s">
        <v>1544</v>
      </c>
      <c r="L168" s="78">
        <v>0.25</v>
      </c>
      <c r="M168" s="104">
        <v>67</v>
      </c>
      <c r="N168" s="78">
        <f t="shared" si="15"/>
        <v>99.70699096520292</v>
      </c>
    </row>
    <row r="169" spans="2:14" x14ac:dyDescent="0.2">
      <c r="B169" s="100">
        <v>10</v>
      </c>
      <c r="C169" s="101">
        <v>10.75</v>
      </c>
      <c r="D169" s="82">
        <v>30</v>
      </c>
      <c r="E169" s="78">
        <v>0.307</v>
      </c>
      <c r="F169" s="66">
        <v>34.24</v>
      </c>
      <c r="G169" s="78">
        <f t="shared" si="14"/>
        <v>50.954736875351465</v>
      </c>
      <c r="I169" s="87">
        <v>26</v>
      </c>
      <c r="J169" s="78">
        <v>26</v>
      </c>
      <c r="K169" s="76" t="s">
        <v>1544</v>
      </c>
      <c r="L169" s="78">
        <v>0.28100000000000003</v>
      </c>
      <c r="M169" s="104">
        <v>77</v>
      </c>
      <c r="N169" s="78">
        <f t="shared" si="15"/>
        <v>114.58863140777054</v>
      </c>
    </row>
    <row r="170" spans="2:14" x14ac:dyDescent="0.2">
      <c r="B170" s="100">
        <v>10</v>
      </c>
      <c r="C170" s="101">
        <v>10.75</v>
      </c>
      <c r="D170" s="75" t="s">
        <v>1544</v>
      </c>
      <c r="E170" s="78">
        <v>0.34399999999999997</v>
      </c>
      <c r="F170" s="66">
        <v>38.26</v>
      </c>
      <c r="G170" s="78">
        <f t="shared" si="14"/>
        <v>56.937156333263637</v>
      </c>
      <c r="I170" s="87">
        <v>26</v>
      </c>
      <c r="J170" s="78">
        <v>26</v>
      </c>
      <c r="K170" s="76" t="s">
        <v>1544</v>
      </c>
      <c r="L170" s="78">
        <v>0.312</v>
      </c>
      <c r="M170" s="104">
        <v>84</v>
      </c>
      <c r="N170" s="78">
        <f t="shared" si="15"/>
        <v>125.00577971756785</v>
      </c>
    </row>
    <row r="171" spans="2:14" x14ac:dyDescent="0.2">
      <c r="B171" s="100">
        <v>10</v>
      </c>
      <c r="C171" s="101">
        <v>10.75</v>
      </c>
      <c r="D171" s="102" t="s">
        <v>1540</v>
      </c>
      <c r="E171" s="78">
        <v>0.36499999999999999</v>
      </c>
      <c r="F171" s="66">
        <v>40.479999999999997</v>
      </c>
      <c r="G171" s="78">
        <f t="shared" si="14"/>
        <v>60.240880511513645</v>
      </c>
      <c r="I171" s="87">
        <v>26</v>
      </c>
      <c r="J171" s="78">
        <v>26</v>
      </c>
      <c r="K171" s="76" t="s">
        <v>1544</v>
      </c>
      <c r="L171" s="78">
        <v>0.34399999999999997</v>
      </c>
      <c r="M171" s="104">
        <v>94</v>
      </c>
      <c r="N171" s="78">
        <f t="shared" si="15"/>
        <v>139.88742016013546</v>
      </c>
    </row>
    <row r="172" spans="2:14" x14ac:dyDescent="0.2">
      <c r="B172" s="100">
        <v>10</v>
      </c>
      <c r="C172" s="101">
        <v>10.75</v>
      </c>
      <c r="D172" s="75" t="s">
        <v>1544</v>
      </c>
      <c r="E172" s="78">
        <v>0.438</v>
      </c>
      <c r="F172" s="66">
        <v>48.28</v>
      </c>
      <c r="G172" s="78">
        <f t="shared" si="14"/>
        <v>71.84856005671638</v>
      </c>
      <c r="I172" s="87">
        <v>26</v>
      </c>
      <c r="J172" s="78">
        <v>26</v>
      </c>
      <c r="K172" s="76" t="s">
        <v>1544</v>
      </c>
      <c r="L172" s="78">
        <v>0.375</v>
      </c>
      <c r="M172" s="104">
        <v>103</v>
      </c>
      <c r="N172" s="78">
        <f t="shared" si="15"/>
        <v>153.28089655844627</v>
      </c>
    </row>
    <row r="173" spans="2:14" x14ac:dyDescent="0.2">
      <c r="B173" s="100">
        <v>10</v>
      </c>
      <c r="C173" s="101">
        <v>10.75</v>
      </c>
      <c r="D173" s="82" t="s">
        <v>1541</v>
      </c>
      <c r="E173" s="78">
        <v>0.5</v>
      </c>
      <c r="F173" s="66">
        <v>54.74</v>
      </c>
      <c r="G173" s="78">
        <f t="shared" si="14"/>
        <v>81.462099782615041</v>
      </c>
      <c r="I173" s="87">
        <v>26</v>
      </c>
      <c r="J173" s="78">
        <v>26</v>
      </c>
      <c r="K173" s="76" t="s">
        <v>1544</v>
      </c>
      <c r="L173" s="78">
        <v>0.40600000000000003</v>
      </c>
      <c r="M173" s="104">
        <v>111</v>
      </c>
      <c r="N173" s="78">
        <f t="shared" si="15"/>
        <v>165.18620891250038</v>
      </c>
    </row>
    <row r="174" spans="2:14" x14ac:dyDescent="0.2">
      <c r="B174" s="100">
        <v>10</v>
      </c>
      <c r="C174" s="101">
        <v>10.75</v>
      </c>
      <c r="D174" s="75">
        <v>80</v>
      </c>
      <c r="E174" s="78">
        <v>0.59399999999999997</v>
      </c>
      <c r="F174" s="66">
        <v>64.400000000000006</v>
      </c>
      <c r="G174" s="78">
        <f t="shared" si="14"/>
        <v>95.837764450135353</v>
      </c>
      <c r="I174" s="87">
        <v>26</v>
      </c>
      <c r="J174" s="78">
        <v>26</v>
      </c>
      <c r="K174" s="76" t="s">
        <v>1544</v>
      </c>
      <c r="L174" s="78">
        <v>0.438</v>
      </c>
      <c r="M174" s="104">
        <v>120</v>
      </c>
      <c r="N174" s="78">
        <f t="shared" si="15"/>
        <v>178.57968531081119</v>
      </c>
    </row>
    <row r="175" spans="2:14" x14ac:dyDescent="0.2">
      <c r="B175" s="100">
        <v>10</v>
      </c>
      <c r="C175" s="101">
        <v>10.75</v>
      </c>
      <c r="D175" s="75">
        <v>100</v>
      </c>
      <c r="E175" s="78">
        <v>0.71899999999999997</v>
      </c>
      <c r="F175" s="66">
        <v>77</v>
      </c>
      <c r="G175" s="78">
        <f t="shared" si="14"/>
        <v>114.58863140777054</v>
      </c>
      <c r="I175" s="87">
        <v>26</v>
      </c>
      <c r="J175" s="78">
        <v>26</v>
      </c>
      <c r="K175" s="76" t="s">
        <v>1544</v>
      </c>
      <c r="L175" s="78">
        <v>0.5</v>
      </c>
      <c r="M175" s="104">
        <v>136</v>
      </c>
      <c r="N175" s="78">
        <f t="shared" si="15"/>
        <v>202.39031001891939</v>
      </c>
    </row>
    <row r="176" spans="2:14" x14ac:dyDescent="0.2">
      <c r="B176" s="100">
        <v>10</v>
      </c>
      <c r="C176" s="101">
        <v>10.75</v>
      </c>
      <c r="D176" s="103" t="s">
        <v>1545</v>
      </c>
      <c r="E176" s="78">
        <v>0.75</v>
      </c>
      <c r="F176" s="66">
        <v>80.099999999999994</v>
      </c>
      <c r="G176" s="78">
        <f t="shared" si="14"/>
        <v>119.20193994496647</v>
      </c>
      <c r="I176" s="87">
        <v>26</v>
      </c>
      <c r="J176" s="78">
        <v>26</v>
      </c>
      <c r="K176" s="88" t="s">
        <v>1545</v>
      </c>
      <c r="L176" s="78">
        <v>0.625</v>
      </c>
      <c r="M176" s="104">
        <v>169</v>
      </c>
      <c r="N176" s="78">
        <f t="shared" si="15"/>
        <v>251.49972347939243</v>
      </c>
    </row>
    <row r="177" spans="2:14" x14ac:dyDescent="0.2">
      <c r="B177" s="100">
        <v>10</v>
      </c>
      <c r="C177" s="101">
        <v>10.75</v>
      </c>
      <c r="D177" s="75">
        <v>120</v>
      </c>
      <c r="E177" s="78">
        <v>0.84399999999999997</v>
      </c>
      <c r="F177" s="66">
        <v>89.2</v>
      </c>
      <c r="G177" s="78">
        <f t="shared" si="14"/>
        <v>132.74423274770299</v>
      </c>
      <c r="I177" s="87">
        <v>26</v>
      </c>
      <c r="J177" s="78">
        <v>26</v>
      </c>
      <c r="K177" s="88" t="s">
        <v>1545</v>
      </c>
      <c r="L177" s="78">
        <v>0.75</v>
      </c>
      <c r="M177" s="104">
        <v>202</v>
      </c>
      <c r="N177" s="78">
        <f t="shared" si="15"/>
        <v>300.60913693986555</v>
      </c>
    </row>
    <row r="178" spans="2:14" x14ac:dyDescent="0.2">
      <c r="B178" s="97">
        <v>10</v>
      </c>
      <c r="C178" s="98">
        <v>10.75</v>
      </c>
      <c r="D178" s="82">
        <v>140</v>
      </c>
      <c r="E178" s="78">
        <v>1</v>
      </c>
      <c r="F178" s="66">
        <v>104.2</v>
      </c>
      <c r="G178" s="78">
        <f t="shared" si="14"/>
        <v>155.06669341155441</v>
      </c>
      <c r="I178" s="87">
        <v>26</v>
      </c>
      <c r="J178" s="78">
        <v>26</v>
      </c>
      <c r="K178" s="88" t="s">
        <v>1545</v>
      </c>
      <c r="L178" s="78">
        <v>0.875</v>
      </c>
      <c r="M178" s="104">
        <v>235</v>
      </c>
      <c r="N178" s="78">
        <f t="shared" si="15"/>
        <v>349.71855040033864</v>
      </c>
    </row>
    <row r="179" spans="2:14" x14ac:dyDescent="0.2">
      <c r="B179" s="97">
        <v>10</v>
      </c>
      <c r="C179" s="98">
        <v>10.75</v>
      </c>
      <c r="D179" s="82">
        <v>160</v>
      </c>
      <c r="E179" s="78">
        <v>1.125</v>
      </c>
      <c r="F179" s="66">
        <v>116</v>
      </c>
      <c r="G179" s="78">
        <f t="shared" si="14"/>
        <v>172.62702913378416</v>
      </c>
      <c r="I179" s="87">
        <v>26</v>
      </c>
      <c r="J179" s="78">
        <v>26</v>
      </c>
      <c r="K179" s="88" t="s">
        <v>1545</v>
      </c>
      <c r="L179" s="78">
        <v>1</v>
      </c>
      <c r="M179" s="104">
        <v>267</v>
      </c>
      <c r="N179" s="78">
        <f t="shared" si="15"/>
        <v>397.33979981655494</v>
      </c>
    </row>
    <row r="180" spans="2:14" x14ac:dyDescent="0.2">
      <c r="B180" s="96" t="s">
        <v>899</v>
      </c>
      <c r="C180" s="89" t="s">
        <v>899</v>
      </c>
      <c r="D180" s="80" t="s">
        <v>899</v>
      </c>
      <c r="E180" s="89" t="s">
        <v>899</v>
      </c>
      <c r="F180" s="95" t="s">
        <v>899</v>
      </c>
      <c r="G180" s="95" t="s">
        <v>899</v>
      </c>
      <c r="I180" s="87">
        <v>26</v>
      </c>
      <c r="J180" s="78">
        <v>26</v>
      </c>
      <c r="K180" s="88" t="s">
        <v>1545</v>
      </c>
      <c r="L180" s="78">
        <v>1.125</v>
      </c>
      <c r="M180" s="104">
        <v>299</v>
      </c>
      <c r="N180" s="78">
        <f t="shared" si="15"/>
        <v>444.9610492327713</v>
      </c>
    </row>
    <row r="181" spans="2:14" x14ac:dyDescent="0.2">
      <c r="B181" s="87">
        <v>12</v>
      </c>
      <c r="C181" s="78">
        <v>12.75</v>
      </c>
      <c r="D181" s="76" t="s">
        <v>1546</v>
      </c>
      <c r="E181" s="78">
        <v>0.104</v>
      </c>
      <c r="F181" s="66">
        <v>14.1</v>
      </c>
      <c r="G181" s="78">
        <f t="shared" ref="G181:G209" si="16">F181*3.2808399*0.4535924</f>
        <v>20.983113024020316</v>
      </c>
      <c r="I181" s="87">
        <v>26</v>
      </c>
      <c r="J181" s="78">
        <v>26</v>
      </c>
      <c r="K181" s="88" t="s">
        <v>1545</v>
      </c>
      <c r="L181" s="78">
        <v>1.375</v>
      </c>
      <c r="M181" s="104">
        <v>362</v>
      </c>
      <c r="N181" s="78">
        <f t="shared" si="15"/>
        <v>538.71538402094711</v>
      </c>
    </row>
    <row r="182" spans="2:14" x14ac:dyDescent="0.2">
      <c r="B182" s="87">
        <v>12</v>
      </c>
      <c r="C182" s="78">
        <v>12.75</v>
      </c>
      <c r="D182" s="76" t="s">
        <v>1549</v>
      </c>
      <c r="E182" s="78">
        <v>0.13400000000000001</v>
      </c>
      <c r="F182" s="66">
        <v>18.100000000000001</v>
      </c>
      <c r="G182" s="78">
        <f t="shared" si="16"/>
        <v>26.935769201047361</v>
      </c>
      <c r="I182" s="87">
        <v>26</v>
      </c>
      <c r="J182" s="78">
        <v>26</v>
      </c>
      <c r="K182" s="88" t="s">
        <v>1545</v>
      </c>
      <c r="L182" s="78">
        <v>1.5</v>
      </c>
      <c r="M182" s="104">
        <v>393</v>
      </c>
      <c r="N182" s="78">
        <f t="shared" si="15"/>
        <v>584.84846939290674</v>
      </c>
    </row>
    <row r="183" spans="2:14" x14ac:dyDescent="0.2">
      <c r="B183" s="87">
        <v>12</v>
      </c>
      <c r="C183" s="78">
        <v>12.75</v>
      </c>
      <c r="D183" s="76" t="s">
        <v>1547</v>
      </c>
      <c r="E183" s="78">
        <v>0.16400000000000001</v>
      </c>
      <c r="F183" s="66">
        <v>22.1</v>
      </c>
      <c r="G183" s="78">
        <f t="shared" si="16"/>
        <v>32.888425378074402</v>
      </c>
      <c r="I183" s="96" t="s">
        <v>899</v>
      </c>
      <c r="J183" s="89" t="s">
        <v>899</v>
      </c>
      <c r="K183" s="80" t="s">
        <v>899</v>
      </c>
      <c r="L183" s="89" t="s">
        <v>899</v>
      </c>
      <c r="M183" s="95" t="s">
        <v>899</v>
      </c>
      <c r="N183" s="95" t="s">
        <v>899</v>
      </c>
    </row>
    <row r="184" spans="2:14" x14ac:dyDescent="0.2">
      <c r="B184" s="87">
        <v>12</v>
      </c>
      <c r="C184" s="78">
        <v>12.75</v>
      </c>
      <c r="D184" s="76" t="s">
        <v>1542</v>
      </c>
      <c r="E184" s="78">
        <v>0.18</v>
      </c>
      <c r="F184" s="66">
        <v>24.2</v>
      </c>
      <c r="G184" s="78">
        <f t="shared" si="16"/>
        <v>36.013569871013594</v>
      </c>
      <c r="I184" s="87">
        <v>30</v>
      </c>
      <c r="J184" s="78">
        <v>30</v>
      </c>
      <c r="K184" s="76" t="s">
        <v>1547</v>
      </c>
      <c r="L184" s="78">
        <v>0.16400000000000001</v>
      </c>
      <c r="M184" s="104">
        <v>52</v>
      </c>
      <c r="N184" s="78">
        <f t="shared" ref="N184:N202" si="17">M184*3.2808399*0.4535924</f>
        <v>77.384530301351532</v>
      </c>
    </row>
    <row r="185" spans="2:14" x14ac:dyDescent="0.2">
      <c r="B185" s="87">
        <v>12</v>
      </c>
      <c r="C185" s="78">
        <v>12.75</v>
      </c>
      <c r="D185" s="76" t="s">
        <v>1550</v>
      </c>
      <c r="E185" s="78">
        <v>0.19400000000000001</v>
      </c>
      <c r="F185" s="66">
        <v>26</v>
      </c>
      <c r="G185" s="78">
        <f t="shared" si="16"/>
        <v>38.692265150675766</v>
      </c>
      <c r="I185" s="87">
        <v>30</v>
      </c>
      <c r="J185" s="78">
        <v>30</v>
      </c>
      <c r="K185" s="76" t="s">
        <v>1550</v>
      </c>
      <c r="L185" s="78">
        <v>0.19400000000000001</v>
      </c>
      <c r="M185" s="104">
        <v>62</v>
      </c>
      <c r="N185" s="78">
        <f t="shared" si="17"/>
        <v>92.266170743919119</v>
      </c>
    </row>
    <row r="186" spans="2:14" x14ac:dyDescent="0.2">
      <c r="B186" s="87">
        <v>12</v>
      </c>
      <c r="C186" s="78">
        <v>12.75</v>
      </c>
      <c r="D186" s="76" t="s">
        <v>1544</v>
      </c>
      <c r="E186" s="78">
        <v>0.20300000000000001</v>
      </c>
      <c r="F186" s="66">
        <v>27.2</v>
      </c>
      <c r="G186" s="78">
        <f t="shared" si="16"/>
        <v>40.478062003783876</v>
      </c>
      <c r="I186" s="87">
        <v>30</v>
      </c>
      <c r="J186" s="78">
        <v>30</v>
      </c>
      <c r="K186" s="76" t="s">
        <v>1551</v>
      </c>
      <c r="L186" s="78">
        <v>0.23899999999999999</v>
      </c>
      <c r="M186" s="104">
        <v>76</v>
      </c>
      <c r="N186" s="78">
        <f t="shared" si="17"/>
        <v>113.10046736351376</v>
      </c>
    </row>
    <row r="187" spans="2:14" x14ac:dyDescent="0.2">
      <c r="B187" s="87">
        <v>12</v>
      </c>
      <c r="C187" s="78">
        <v>12.75</v>
      </c>
      <c r="D187" s="76" t="s">
        <v>1544</v>
      </c>
      <c r="E187" s="78">
        <v>0.219</v>
      </c>
      <c r="F187" s="66">
        <v>29.3</v>
      </c>
      <c r="G187" s="78">
        <f t="shared" si="16"/>
        <v>43.603206496723075</v>
      </c>
      <c r="I187" s="87">
        <v>30</v>
      </c>
      <c r="J187" s="78">
        <v>30</v>
      </c>
      <c r="K187" s="76" t="s">
        <v>1544</v>
      </c>
      <c r="L187" s="78">
        <v>0.25</v>
      </c>
      <c r="M187" s="104">
        <v>79</v>
      </c>
      <c r="N187" s="78">
        <f t="shared" si="17"/>
        <v>117.56495949628405</v>
      </c>
    </row>
    <row r="188" spans="2:14" x14ac:dyDescent="0.2">
      <c r="B188" s="87">
        <v>12</v>
      </c>
      <c r="C188" s="78">
        <v>12.75</v>
      </c>
      <c r="D188" s="76" t="s">
        <v>1551</v>
      </c>
      <c r="E188" s="78">
        <v>0.23899999999999999</v>
      </c>
      <c r="F188" s="66">
        <v>32</v>
      </c>
      <c r="G188" s="78">
        <f t="shared" si="16"/>
        <v>47.621249416216322</v>
      </c>
      <c r="I188" s="87">
        <v>30</v>
      </c>
      <c r="J188" s="78">
        <v>30</v>
      </c>
      <c r="K188" s="76" t="s">
        <v>1544</v>
      </c>
      <c r="L188" s="78">
        <v>0.28100000000000003</v>
      </c>
      <c r="M188" s="104">
        <v>89</v>
      </c>
      <c r="N188" s="78">
        <f t="shared" si="17"/>
        <v>132.44659993885165</v>
      </c>
    </row>
    <row r="189" spans="2:14" x14ac:dyDescent="0.2">
      <c r="B189" s="87">
        <v>12</v>
      </c>
      <c r="C189" s="78">
        <v>12.75</v>
      </c>
      <c r="D189" s="76">
        <v>20</v>
      </c>
      <c r="E189" s="78">
        <v>0.25</v>
      </c>
      <c r="F189" s="66">
        <v>33.4</v>
      </c>
      <c r="G189" s="78">
        <f t="shared" si="16"/>
        <v>49.704679078175786</v>
      </c>
      <c r="I189" s="87">
        <v>30</v>
      </c>
      <c r="J189" s="78">
        <v>30</v>
      </c>
      <c r="K189" s="76">
        <v>10</v>
      </c>
      <c r="L189" s="78">
        <v>0.312</v>
      </c>
      <c r="M189" s="104">
        <v>99</v>
      </c>
      <c r="N189" s="78">
        <f t="shared" si="17"/>
        <v>147.32824038141925</v>
      </c>
    </row>
    <row r="190" spans="2:14" x14ac:dyDescent="0.2">
      <c r="B190" s="87">
        <v>12</v>
      </c>
      <c r="C190" s="78">
        <v>12.75</v>
      </c>
      <c r="D190" s="76" t="s">
        <v>1544</v>
      </c>
      <c r="E190" s="78">
        <v>0.28100000000000003</v>
      </c>
      <c r="F190" s="66">
        <v>37.4</v>
      </c>
      <c r="G190" s="78">
        <f t="shared" si="16"/>
        <v>55.657335255202831</v>
      </c>
      <c r="I190" s="87">
        <v>30</v>
      </c>
      <c r="J190" s="78">
        <v>30</v>
      </c>
      <c r="K190" s="76" t="s">
        <v>1544</v>
      </c>
      <c r="L190" s="78">
        <v>0.34399999999999997</v>
      </c>
      <c r="M190" s="104">
        <v>109</v>
      </c>
      <c r="N190" s="78">
        <f t="shared" si="17"/>
        <v>162.20988082398685</v>
      </c>
    </row>
    <row r="191" spans="2:14" x14ac:dyDescent="0.2">
      <c r="B191" s="87">
        <v>12</v>
      </c>
      <c r="C191" s="78">
        <v>12.75</v>
      </c>
      <c r="D191" s="76" t="s">
        <v>1544</v>
      </c>
      <c r="E191" s="78">
        <v>0.312</v>
      </c>
      <c r="F191" s="66">
        <v>41.5</v>
      </c>
      <c r="G191" s="78">
        <f t="shared" si="16"/>
        <v>61.758807836655549</v>
      </c>
      <c r="I191" s="87">
        <v>30</v>
      </c>
      <c r="J191" s="78">
        <v>30</v>
      </c>
      <c r="K191" s="76" t="s">
        <v>1544</v>
      </c>
      <c r="L191" s="78">
        <v>0.375</v>
      </c>
      <c r="M191" s="104">
        <v>119</v>
      </c>
      <c r="N191" s="78">
        <f t="shared" si="17"/>
        <v>177.09152126655445</v>
      </c>
    </row>
    <row r="192" spans="2:14" x14ac:dyDescent="0.2">
      <c r="B192" s="87">
        <v>12</v>
      </c>
      <c r="C192" s="78">
        <v>12.75</v>
      </c>
      <c r="D192" s="76">
        <v>30</v>
      </c>
      <c r="E192" s="78">
        <v>0.33</v>
      </c>
      <c r="F192" s="66">
        <v>43.8</v>
      </c>
      <c r="G192" s="78">
        <f t="shared" si="16"/>
        <v>65.181585138446096</v>
      </c>
      <c r="I192" s="87">
        <v>30</v>
      </c>
      <c r="J192" s="78">
        <v>30</v>
      </c>
      <c r="K192" s="76" t="s">
        <v>1544</v>
      </c>
      <c r="L192" s="78">
        <v>0.40600000000000003</v>
      </c>
      <c r="M192" s="104">
        <v>130</v>
      </c>
      <c r="N192" s="78">
        <f t="shared" si="17"/>
        <v>193.46132575337882</v>
      </c>
    </row>
    <row r="193" spans="2:14" x14ac:dyDescent="0.2">
      <c r="B193" s="87">
        <v>12</v>
      </c>
      <c r="C193" s="78">
        <v>12.75</v>
      </c>
      <c r="D193" s="76" t="s">
        <v>1544</v>
      </c>
      <c r="E193" s="78">
        <v>0.34399999999999997</v>
      </c>
      <c r="F193" s="66">
        <v>45.5</v>
      </c>
      <c r="G193" s="78">
        <f t="shared" si="16"/>
        <v>67.711464013682587</v>
      </c>
      <c r="I193" s="87">
        <v>30</v>
      </c>
      <c r="J193" s="78">
        <v>30</v>
      </c>
      <c r="K193" s="76" t="s">
        <v>1544</v>
      </c>
      <c r="L193" s="78">
        <v>0.438</v>
      </c>
      <c r="M193" s="104">
        <v>138</v>
      </c>
      <c r="N193" s="78">
        <f t="shared" si="17"/>
        <v>205.36663810743289</v>
      </c>
    </row>
    <row r="194" spans="2:14" x14ac:dyDescent="0.2">
      <c r="B194" s="87">
        <v>12</v>
      </c>
      <c r="C194" s="78">
        <v>12.75</v>
      </c>
      <c r="D194" s="94" t="s">
        <v>1540</v>
      </c>
      <c r="E194" s="78">
        <v>0.375</v>
      </c>
      <c r="F194" s="66">
        <v>49.6</v>
      </c>
      <c r="G194" s="78">
        <f t="shared" si="16"/>
        <v>73.812936595135298</v>
      </c>
      <c r="I194" s="87">
        <v>30</v>
      </c>
      <c r="J194" s="78">
        <v>30</v>
      </c>
      <c r="K194" s="76">
        <v>20</v>
      </c>
      <c r="L194" s="78">
        <v>0.5</v>
      </c>
      <c r="M194" s="104">
        <v>158</v>
      </c>
      <c r="N194" s="78">
        <f t="shared" si="17"/>
        <v>235.12991899256809</v>
      </c>
    </row>
    <row r="195" spans="2:14" x14ac:dyDescent="0.2">
      <c r="B195" s="87">
        <v>12</v>
      </c>
      <c r="C195" s="78">
        <v>12.75</v>
      </c>
      <c r="D195" s="76">
        <v>40</v>
      </c>
      <c r="E195" s="78">
        <v>0.40600000000000003</v>
      </c>
      <c r="F195" s="66">
        <v>53.6</v>
      </c>
      <c r="G195" s="78">
        <f t="shared" si="16"/>
        <v>79.76559277216235</v>
      </c>
      <c r="I195" s="87">
        <v>30</v>
      </c>
      <c r="J195" s="78">
        <v>30</v>
      </c>
      <c r="K195" s="76">
        <v>30</v>
      </c>
      <c r="L195" s="78">
        <v>0.625</v>
      </c>
      <c r="M195" s="104">
        <v>196</v>
      </c>
      <c r="N195" s="78">
        <f t="shared" si="17"/>
        <v>291.68015267432497</v>
      </c>
    </row>
    <row r="196" spans="2:14" x14ac:dyDescent="0.2">
      <c r="B196" s="87">
        <v>12</v>
      </c>
      <c r="C196" s="78">
        <v>12.75</v>
      </c>
      <c r="D196" s="76" t="s">
        <v>1544</v>
      </c>
      <c r="E196" s="78">
        <v>0.438</v>
      </c>
      <c r="F196" s="66">
        <v>57.5</v>
      </c>
      <c r="G196" s="78">
        <f t="shared" si="16"/>
        <v>85.569432544763714</v>
      </c>
      <c r="I196" s="87">
        <v>30</v>
      </c>
      <c r="J196" s="78">
        <v>30</v>
      </c>
      <c r="K196" s="88" t="s">
        <v>1545</v>
      </c>
      <c r="L196" s="78">
        <v>0.75</v>
      </c>
      <c r="M196" s="104">
        <v>234</v>
      </c>
      <c r="N196" s="78">
        <f t="shared" si="17"/>
        <v>348.23038635608185</v>
      </c>
    </row>
    <row r="197" spans="2:14" x14ac:dyDescent="0.2">
      <c r="B197" s="87">
        <v>12</v>
      </c>
      <c r="C197" s="78">
        <v>12.75</v>
      </c>
      <c r="D197" s="76" t="s">
        <v>1541</v>
      </c>
      <c r="E197" s="78">
        <v>0.5</v>
      </c>
      <c r="F197" s="66">
        <v>65.400000000000006</v>
      </c>
      <c r="G197" s="78">
        <f t="shared" si="16"/>
        <v>97.32592849439213</v>
      </c>
      <c r="I197" s="87">
        <v>30</v>
      </c>
      <c r="J197" s="78">
        <v>30</v>
      </c>
      <c r="K197" s="88" t="s">
        <v>1545</v>
      </c>
      <c r="L197" s="78">
        <v>0.875</v>
      </c>
      <c r="M197" s="104">
        <v>272</v>
      </c>
      <c r="N197" s="78">
        <f t="shared" si="17"/>
        <v>404.78062003783879</v>
      </c>
    </row>
    <row r="198" spans="2:14" x14ac:dyDescent="0.2">
      <c r="B198" s="87">
        <v>12</v>
      </c>
      <c r="C198" s="78">
        <v>12.75</v>
      </c>
      <c r="D198" s="76">
        <v>60</v>
      </c>
      <c r="E198" s="78">
        <v>0.56200000000000006</v>
      </c>
      <c r="F198" s="66">
        <v>73.2</v>
      </c>
      <c r="G198" s="78">
        <f t="shared" si="16"/>
        <v>108.93360803959484</v>
      </c>
      <c r="I198" s="87">
        <v>30</v>
      </c>
      <c r="J198" s="78">
        <v>30</v>
      </c>
      <c r="K198" s="88" t="s">
        <v>1545</v>
      </c>
      <c r="L198" s="78">
        <v>1</v>
      </c>
      <c r="M198" s="104">
        <v>310</v>
      </c>
      <c r="N198" s="78">
        <f t="shared" si="17"/>
        <v>461.33085371959561</v>
      </c>
    </row>
    <row r="199" spans="2:14" x14ac:dyDescent="0.2">
      <c r="B199" s="87">
        <v>12</v>
      </c>
      <c r="C199" s="78">
        <v>12.75</v>
      </c>
      <c r="D199" s="88" t="s">
        <v>1545</v>
      </c>
      <c r="E199" s="78">
        <v>0.625</v>
      </c>
      <c r="F199" s="66">
        <v>80.900000000000006</v>
      </c>
      <c r="G199" s="78">
        <f t="shared" si="16"/>
        <v>120.3924711803719</v>
      </c>
      <c r="I199" s="87">
        <v>30</v>
      </c>
      <c r="J199" s="78">
        <v>30</v>
      </c>
      <c r="K199" s="88" t="s">
        <v>1545</v>
      </c>
      <c r="L199" s="78">
        <v>1.125</v>
      </c>
      <c r="M199" s="104">
        <v>347</v>
      </c>
      <c r="N199" s="78">
        <f t="shared" si="17"/>
        <v>516.39292335709581</v>
      </c>
    </row>
    <row r="200" spans="2:14" x14ac:dyDescent="0.2">
      <c r="B200" s="87">
        <v>12</v>
      </c>
      <c r="C200" s="78">
        <v>12.75</v>
      </c>
      <c r="D200" s="76">
        <v>80</v>
      </c>
      <c r="E200" s="78">
        <v>0.68799999999999994</v>
      </c>
      <c r="F200" s="66">
        <v>88.6</v>
      </c>
      <c r="G200" s="78">
        <f t="shared" si="16"/>
        <v>131.85133432114893</v>
      </c>
      <c r="I200" s="87">
        <v>30</v>
      </c>
      <c r="J200" s="78">
        <v>30</v>
      </c>
      <c r="K200" s="88" t="s">
        <v>1545</v>
      </c>
      <c r="L200" s="78">
        <v>1.25</v>
      </c>
      <c r="M200" s="104">
        <v>384</v>
      </c>
      <c r="N200" s="78">
        <f t="shared" si="17"/>
        <v>571.45499299459584</v>
      </c>
    </row>
    <row r="201" spans="2:14" x14ac:dyDescent="0.2">
      <c r="B201" s="87">
        <v>12</v>
      </c>
      <c r="C201" s="78">
        <v>12.75</v>
      </c>
      <c r="D201" s="88" t="s">
        <v>1545</v>
      </c>
      <c r="E201" s="78">
        <v>0.75</v>
      </c>
      <c r="F201" s="66">
        <v>96.2</v>
      </c>
      <c r="G201" s="78">
        <f t="shared" si="16"/>
        <v>143.16138105750034</v>
      </c>
      <c r="I201" s="87">
        <v>30</v>
      </c>
      <c r="J201" s="78">
        <v>30</v>
      </c>
      <c r="K201" s="88" t="s">
        <v>1545</v>
      </c>
      <c r="L201" s="78">
        <v>1.375</v>
      </c>
      <c r="M201" s="104">
        <v>421</v>
      </c>
      <c r="N201" s="78">
        <f t="shared" si="17"/>
        <v>626.51706263209599</v>
      </c>
    </row>
    <row r="202" spans="2:14" x14ac:dyDescent="0.2">
      <c r="B202" s="87">
        <v>12</v>
      </c>
      <c r="C202" s="78">
        <v>12.75</v>
      </c>
      <c r="D202" s="76">
        <v>100</v>
      </c>
      <c r="E202" s="78">
        <v>0.84399999999999997</v>
      </c>
      <c r="F202" s="66">
        <v>108</v>
      </c>
      <c r="G202" s="78">
        <f t="shared" si="16"/>
        <v>160.72171677973009</v>
      </c>
      <c r="I202" s="87">
        <v>30</v>
      </c>
      <c r="J202" s="78">
        <v>30</v>
      </c>
      <c r="K202" s="88" t="s">
        <v>1545</v>
      </c>
      <c r="L202" s="78">
        <v>1.5</v>
      </c>
      <c r="M202" s="104">
        <v>457</v>
      </c>
      <c r="N202" s="78">
        <f t="shared" si="17"/>
        <v>680.09096822533934</v>
      </c>
    </row>
    <row r="203" spans="2:14" x14ac:dyDescent="0.2">
      <c r="B203" s="87">
        <v>12</v>
      </c>
      <c r="C203" s="78">
        <v>12.75</v>
      </c>
      <c r="D203" s="88" t="s">
        <v>1545</v>
      </c>
      <c r="E203" s="78">
        <v>0.875</v>
      </c>
      <c r="F203" s="66">
        <v>110.9</v>
      </c>
      <c r="G203" s="78">
        <f t="shared" si="16"/>
        <v>165.0373925080747</v>
      </c>
      <c r="I203" s="96" t="s">
        <v>899</v>
      </c>
      <c r="J203" s="89" t="s">
        <v>899</v>
      </c>
      <c r="K203" s="80" t="s">
        <v>899</v>
      </c>
      <c r="L203" s="89" t="s">
        <v>899</v>
      </c>
      <c r="M203" s="95" t="s">
        <v>899</v>
      </c>
      <c r="N203" s="95" t="s">
        <v>899</v>
      </c>
    </row>
    <row r="204" spans="2:14" x14ac:dyDescent="0.2">
      <c r="B204" s="87">
        <v>12</v>
      </c>
      <c r="C204" s="78">
        <v>12.75</v>
      </c>
      <c r="D204" s="76">
        <v>120</v>
      </c>
      <c r="E204" s="78">
        <v>1</v>
      </c>
      <c r="F204" s="66">
        <v>125.5</v>
      </c>
      <c r="G204" s="78">
        <f t="shared" si="16"/>
        <v>186.7645875542234</v>
      </c>
      <c r="I204" s="87">
        <v>32</v>
      </c>
      <c r="J204" s="78">
        <v>32</v>
      </c>
      <c r="K204" s="76" t="s">
        <v>1544</v>
      </c>
      <c r="L204" s="78">
        <v>0.25</v>
      </c>
      <c r="M204" s="104">
        <v>85</v>
      </c>
      <c r="N204" s="78">
        <f t="shared" ref="N204:N219" si="18">M204*3.2808399*0.4535924</f>
        <v>126.49394376182461</v>
      </c>
    </row>
    <row r="205" spans="2:14" x14ac:dyDescent="0.2">
      <c r="B205" s="87">
        <v>12</v>
      </c>
      <c r="C205" s="78">
        <v>12.75</v>
      </c>
      <c r="D205" s="76">
        <v>140</v>
      </c>
      <c r="E205" s="78">
        <v>1.125</v>
      </c>
      <c r="F205" s="66">
        <v>140</v>
      </c>
      <c r="G205" s="78">
        <f t="shared" si="16"/>
        <v>208.34296619594642</v>
      </c>
      <c r="I205" s="87">
        <v>32</v>
      </c>
      <c r="J205" s="78">
        <v>32</v>
      </c>
      <c r="K205" s="76" t="s">
        <v>1544</v>
      </c>
      <c r="L205" s="78">
        <v>0.28100000000000003</v>
      </c>
      <c r="M205" s="104">
        <v>95</v>
      </c>
      <c r="N205" s="78">
        <f t="shared" si="18"/>
        <v>141.37558420439223</v>
      </c>
    </row>
    <row r="206" spans="2:14" x14ac:dyDescent="0.2">
      <c r="B206" s="87">
        <v>12</v>
      </c>
      <c r="C206" s="78">
        <v>12.75</v>
      </c>
      <c r="D206" s="88" t="s">
        <v>1545</v>
      </c>
      <c r="E206" s="78">
        <v>1.25</v>
      </c>
      <c r="F206" s="66">
        <v>153.6</v>
      </c>
      <c r="G206" s="78">
        <f t="shared" si="16"/>
        <v>228.58199719783835</v>
      </c>
      <c r="I206" s="87">
        <v>32</v>
      </c>
      <c r="J206" s="78">
        <v>32</v>
      </c>
      <c r="K206" s="76" t="s">
        <v>1544</v>
      </c>
      <c r="L206" s="78">
        <v>0.312</v>
      </c>
      <c r="M206" s="104">
        <v>106</v>
      </c>
      <c r="N206" s="78">
        <f t="shared" si="18"/>
        <v>157.74538869121656</v>
      </c>
    </row>
    <row r="207" spans="2:14" x14ac:dyDescent="0.2">
      <c r="B207" s="87">
        <v>12</v>
      </c>
      <c r="C207" s="78">
        <v>12.75</v>
      </c>
      <c r="D207" s="76">
        <v>160</v>
      </c>
      <c r="E207" s="78">
        <v>1.3120000000000001</v>
      </c>
      <c r="F207" s="66">
        <v>161</v>
      </c>
      <c r="G207" s="78">
        <f t="shared" si="16"/>
        <v>239.59441112533838</v>
      </c>
      <c r="I207" s="87">
        <v>32</v>
      </c>
      <c r="J207" s="78">
        <v>32</v>
      </c>
      <c r="K207" s="76" t="s">
        <v>1544</v>
      </c>
      <c r="L207" s="78">
        <v>0.34399999999999997</v>
      </c>
      <c r="M207" s="104">
        <v>116</v>
      </c>
      <c r="N207" s="78">
        <f t="shared" si="18"/>
        <v>172.62702913378416</v>
      </c>
    </row>
    <row r="208" spans="2:14" x14ac:dyDescent="0.2">
      <c r="B208" s="87">
        <v>12</v>
      </c>
      <c r="C208" s="78">
        <v>12.75</v>
      </c>
      <c r="D208" s="88" t="s">
        <v>1545</v>
      </c>
      <c r="E208" s="78">
        <v>1.375</v>
      </c>
      <c r="F208" s="66">
        <v>167.2</v>
      </c>
      <c r="G208" s="78">
        <f t="shared" si="16"/>
        <v>248.82102819973025</v>
      </c>
      <c r="I208" s="87">
        <v>32</v>
      </c>
      <c r="J208" s="78">
        <v>32</v>
      </c>
      <c r="K208" s="76" t="s">
        <v>1544</v>
      </c>
      <c r="L208" s="78">
        <v>0.375</v>
      </c>
      <c r="M208" s="104">
        <v>127</v>
      </c>
      <c r="N208" s="78">
        <f t="shared" si="18"/>
        <v>188.99683362060853</v>
      </c>
    </row>
    <row r="209" spans="2:14" x14ac:dyDescent="0.2">
      <c r="B209" s="87">
        <v>12</v>
      </c>
      <c r="C209" s="78">
        <v>12.75</v>
      </c>
      <c r="D209" s="88" t="s">
        <v>1545</v>
      </c>
      <c r="E209" s="78">
        <v>1.5</v>
      </c>
      <c r="F209" s="66">
        <v>180.4</v>
      </c>
      <c r="G209" s="78">
        <f t="shared" si="16"/>
        <v>268.46479358391957</v>
      </c>
      <c r="I209" s="87">
        <v>32</v>
      </c>
      <c r="J209" s="78">
        <v>32</v>
      </c>
      <c r="K209" s="76" t="s">
        <v>1544</v>
      </c>
      <c r="L209" s="78">
        <v>0.40600000000000003</v>
      </c>
      <c r="M209" s="104">
        <v>137</v>
      </c>
      <c r="N209" s="78">
        <f t="shared" si="18"/>
        <v>203.87847406317613</v>
      </c>
    </row>
    <row r="210" spans="2:14" x14ac:dyDescent="0.2">
      <c r="B210" s="96" t="s">
        <v>899</v>
      </c>
      <c r="C210" s="89" t="s">
        <v>899</v>
      </c>
      <c r="D210" s="80" t="s">
        <v>899</v>
      </c>
      <c r="E210" s="89" t="s">
        <v>899</v>
      </c>
      <c r="F210" s="95" t="s">
        <v>899</v>
      </c>
      <c r="G210" s="95" t="s">
        <v>899</v>
      </c>
      <c r="I210" s="87">
        <v>32</v>
      </c>
      <c r="J210" s="78">
        <v>32</v>
      </c>
      <c r="K210" s="76" t="s">
        <v>1544</v>
      </c>
      <c r="L210" s="78">
        <v>0.438</v>
      </c>
      <c r="M210" s="104">
        <v>148</v>
      </c>
      <c r="N210" s="78">
        <f t="shared" si="18"/>
        <v>220.24827855000049</v>
      </c>
    </row>
    <row r="211" spans="2:14" x14ac:dyDescent="0.2">
      <c r="I211" s="87">
        <v>32</v>
      </c>
      <c r="J211" s="78">
        <v>32</v>
      </c>
      <c r="K211" s="76" t="s">
        <v>1544</v>
      </c>
      <c r="L211" s="78">
        <v>0.5</v>
      </c>
      <c r="M211" s="104">
        <v>168</v>
      </c>
      <c r="N211" s="78">
        <f t="shared" si="18"/>
        <v>250.01155943513569</v>
      </c>
    </row>
    <row r="212" spans="2:14" x14ac:dyDescent="0.2">
      <c r="I212" s="87">
        <v>32</v>
      </c>
      <c r="J212" s="78">
        <v>32</v>
      </c>
      <c r="K212" s="88" t="s">
        <v>1545</v>
      </c>
      <c r="L212" s="78">
        <v>0.625</v>
      </c>
      <c r="M212" s="104">
        <v>209</v>
      </c>
      <c r="N212" s="78">
        <f t="shared" si="18"/>
        <v>311.02628524966286</v>
      </c>
    </row>
    <row r="213" spans="2:14" x14ac:dyDescent="0.2">
      <c r="I213" s="87">
        <v>32</v>
      </c>
      <c r="J213" s="78">
        <v>32</v>
      </c>
      <c r="K213" s="88" t="s">
        <v>1545</v>
      </c>
      <c r="L213" s="78">
        <v>0.75</v>
      </c>
      <c r="M213" s="104">
        <v>250</v>
      </c>
      <c r="N213" s="78">
        <f t="shared" si="18"/>
        <v>372.04101106419</v>
      </c>
    </row>
    <row r="214" spans="2:14" x14ac:dyDescent="0.2">
      <c r="I214" s="87">
        <v>32</v>
      </c>
      <c r="J214" s="78">
        <v>32</v>
      </c>
      <c r="K214" s="88" t="s">
        <v>1545</v>
      </c>
      <c r="L214" s="78">
        <v>0.875</v>
      </c>
      <c r="M214" s="104">
        <v>291</v>
      </c>
      <c r="N214" s="78">
        <f t="shared" si="18"/>
        <v>433.0557368787172</v>
      </c>
    </row>
    <row r="215" spans="2:14" x14ac:dyDescent="0.2">
      <c r="I215" s="87">
        <v>32</v>
      </c>
      <c r="J215" s="78">
        <v>32</v>
      </c>
      <c r="K215" s="88" t="s">
        <v>1545</v>
      </c>
      <c r="L215" s="78">
        <v>1</v>
      </c>
      <c r="M215" s="104">
        <v>331</v>
      </c>
      <c r="N215" s="78">
        <f t="shared" si="18"/>
        <v>492.5822986489876</v>
      </c>
    </row>
    <row r="216" spans="2:14" x14ac:dyDescent="0.2">
      <c r="I216" s="87">
        <v>32</v>
      </c>
      <c r="J216" s="78">
        <v>32</v>
      </c>
      <c r="K216" s="88" t="s">
        <v>1545</v>
      </c>
      <c r="L216" s="78">
        <v>1.125</v>
      </c>
      <c r="M216" s="104">
        <v>371</v>
      </c>
      <c r="N216" s="78">
        <f t="shared" si="18"/>
        <v>552.10886041925801</v>
      </c>
    </row>
    <row r="217" spans="2:14" x14ac:dyDescent="0.2">
      <c r="I217" s="87">
        <v>32</v>
      </c>
      <c r="J217" s="78">
        <v>32</v>
      </c>
      <c r="K217" s="88" t="s">
        <v>1545</v>
      </c>
      <c r="L217" s="78">
        <v>1.25</v>
      </c>
      <c r="M217" s="104">
        <v>410</v>
      </c>
      <c r="N217" s="78">
        <f t="shared" si="18"/>
        <v>610.14725814527162</v>
      </c>
    </row>
    <row r="218" spans="2:14" x14ac:dyDescent="0.2">
      <c r="I218" s="87">
        <v>32</v>
      </c>
      <c r="J218" s="78">
        <v>32</v>
      </c>
      <c r="K218" s="88" t="s">
        <v>1545</v>
      </c>
      <c r="L218" s="78">
        <v>1.375</v>
      </c>
      <c r="M218" s="104">
        <v>450</v>
      </c>
      <c r="N218" s="78">
        <f t="shared" si="18"/>
        <v>669.67381991554203</v>
      </c>
    </row>
    <row r="219" spans="2:14" x14ac:dyDescent="0.2">
      <c r="I219" s="87">
        <v>32</v>
      </c>
      <c r="J219" s="78">
        <v>32</v>
      </c>
      <c r="K219" s="88" t="s">
        <v>1545</v>
      </c>
      <c r="L219" s="78">
        <v>1.5</v>
      </c>
      <c r="M219" s="104">
        <v>489</v>
      </c>
      <c r="N219" s="78">
        <f t="shared" si="18"/>
        <v>727.71221764155575</v>
      </c>
    </row>
    <row r="220" spans="2:14" x14ac:dyDescent="0.2">
      <c r="I220" s="96" t="s">
        <v>899</v>
      </c>
      <c r="J220" s="89" t="s">
        <v>899</v>
      </c>
      <c r="K220" s="80" t="s">
        <v>899</v>
      </c>
      <c r="L220" s="89" t="s">
        <v>899</v>
      </c>
      <c r="M220" s="95" t="s">
        <v>899</v>
      </c>
      <c r="N220" s="95" t="s">
        <v>899</v>
      </c>
    </row>
    <row r="221" spans="2:14" x14ac:dyDescent="0.2">
      <c r="I221" s="87">
        <v>34</v>
      </c>
      <c r="J221" s="78">
        <v>34</v>
      </c>
      <c r="K221" s="76" t="s">
        <v>1544</v>
      </c>
      <c r="L221" s="78">
        <v>0.25</v>
      </c>
      <c r="M221" s="104">
        <v>90</v>
      </c>
      <c r="N221" s="78">
        <f t="shared" ref="N221:N236" si="19">M221*3.2808399*0.4535924</f>
        <v>133.93476398310841</v>
      </c>
    </row>
    <row r="222" spans="2:14" x14ac:dyDescent="0.2">
      <c r="I222" s="87">
        <v>34</v>
      </c>
      <c r="J222" s="78">
        <v>34</v>
      </c>
      <c r="K222" s="76" t="s">
        <v>1544</v>
      </c>
      <c r="L222" s="78">
        <v>0.28100000000000003</v>
      </c>
      <c r="M222" s="104">
        <v>101</v>
      </c>
      <c r="N222" s="78">
        <f t="shared" si="19"/>
        <v>150.30456846993278</v>
      </c>
    </row>
    <row r="223" spans="2:14" x14ac:dyDescent="0.2">
      <c r="I223" s="87">
        <v>34</v>
      </c>
      <c r="J223" s="78">
        <v>34</v>
      </c>
      <c r="K223" s="76" t="s">
        <v>1544</v>
      </c>
      <c r="L223" s="78">
        <v>0.312</v>
      </c>
      <c r="M223" s="104">
        <v>112</v>
      </c>
      <c r="N223" s="78">
        <f t="shared" si="19"/>
        <v>166.67437295675714</v>
      </c>
    </row>
    <row r="224" spans="2:14" x14ac:dyDescent="0.2">
      <c r="I224" s="87">
        <v>34</v>
      </c>
      <c r="J224" s="78">
        <v>34</v>
      </c>
      <c r="K224" s="76" t="s">
        <v>1544</v>
      </c>
      <c r="L224" s="78">
        <v>0.34399999999999997</v>
      </c>
      <c r="M224" s="104">
        <v>124</v>
      </c>
      <c r="N224" s="78">
        <f t="shared" si="19"/>
        <v>184.53234148783824</v>
      </c>
    </row>
    <row r="225" spans="9:14" x14ac:dyDescent="0.2">
      <c r="I225" s="87">
        <v>34</v>
      </c>
      <c r="J225" s="78">
        <v>34</v>
      </c>
      <c r="K225" s="76" t="s">
        <v>1544</v>
      </c>
      <c r="L225" s="78">
        <v>0.375</v>
      </c>
      <c r="M225" s="104">
        <v>135</v>
      </c>
      <c r="N225" s="78">
        <f t="shared" si="19"/>
        <v>200.9021459746626</v>
      </c>
    </row>
    <row r="226" spans="9:14" x14ac:dyDescent="0.2">
      <c r="I226" s="87">
        <v>34</v>
      </c>
      <c r="J226" s="78">
        <v>34</v>
      </c>
      <c r="K226" s="76" t="s">
        <v>1544</v>
      </c>
      <c r="L226" s="78">
        <v>0.40600000000000003</v>
      </c>
      <c r="M226" s="104">
        <v>146</v>
      </c>
      <c r="N226" s="78">
        <f t="shared" si="19"/>
        <v>217.27195046148697</v>
      </c>
    </row>
    <row r="227" spans="9:14" x14ac:dyDescent="0.2">
      <c r="I227" s="87">
        <v>34</v>
      </c>
      <c r="J227" s="78">
        <v>34</v>
      </c>
      <c r="K227" s="76" t="s">
        <v>1544</v>
      </c>
      <c r="L227" s="78">
        <v>0.438</v>
      </c>
      <c r="M227" s="104">
        <v>157</v>
      </c>
      <c r="N227" s="78">
        <f t="shared" si="19"/>
        <v>233.64175494831133</v>
      </c>
    </row>
    <row r="228" spans="9:14" x14ac:dyDescent="0.2">
      <c r="I228" s="87">
        <v>34</v>
      </c>
      <c r="J228" s="78">
        <v>34</v>
      </c>
      <c r="K228" s="76" t="s">
        <v>1544</v>
      </c>
      <c r="L228" s="78">
        <v>0.5</v>
      </c>
      <c r="M228" s="104">
        <v>179</v>
      </c>
      <c r="N228" s="78">
        <f t="shared" si="19"/>
        <v>266.38136392196003</v>
      </c>
    </row>
    <row r="229" spans="9:14" x14ac:dyDescent="0.2">
      <c r="I229" s="87">
        <v>34</v>
      </c>
      <c r="J229" s="78">
        <v>34</v>
      </c>
      <c r="K229" s="88" t="s">
        <v>1545</v>
      </c>
      <c r="L229" s="78">
        <v>0.625</v>
      </c>
      <c r="M229" s="104">
        <v>223</v>
      </c>
      <c r="N229" s="78">
        <f t="shared" si="19"/>
        <v>331.86058186925749</v>
      </c>
    </row>
    <row r="230" spans="9:14" x14ac:dyDescent="0.2">
      <c r="I230" s="87">
        <v>34</v>
      </c>
      <c r="J230" s="78">
        <v>34</v>
      </c>
      <c r="K230" s="88" t="s">
        <v>1545</v>
      </c>
      <c r="L230" s="78">
        <v>0.75</v>
      </c>
      <c r="M230" s="104">
        <v>266</v>
      </c>
      <c r="N230" s="78">
        <f t="shared" si="19"/>
        <v>395.85163577229821</v>
      </c>
    </row>
    <row r="231" spans="9:14" x14ac:dyDescent="0.2">
      <c r="I231" s="87">
        <v>34</v>
      </c>
      <c r="J231" s="78">
        <v>34</v>
      </c>
      <c r="K231" s="88" t="s">
        <v>1545</v>
      </c>
      <c r="L231" s="78">
        <v>0.875</v>
      </c>
      <c r="M231" s="104">
        <v>308</v>
      </c>
      <c r="N231" s="78">
        <f t="shared" si="19"/>
        <v>458.35452563108214</v>
      </c>
    </row>
    <row r="232" spans="9:14" x14ac:dyDescent="0.2">
      <c r="I232" s="87">
        <v>34</v>
      </c>
      <c r="J232" s="78">
        <v>34</v>
      </c>
      <c r="K232" s="88" t="s">
        <v>1545</v>
      </c>
      <c r="L232" s="78">
        <v>1</v>
      </c>
      <c r="M232" s="104">
        <v>353</v>
      </c>
      <c r="N232" s="78">
        <f t="shared" si="19"/>
        <v>525.32190762263633</v>
      </c>
    </row>
    <row r="233" spans="9:14" x14ac:dyDescent="0.2">
      <c r="I233" s="87">
        <v>34</v>
      </c>
      <c r="J233" s="78">
        <v>34</v>
      </c>
      <c r="K233" s="88" t="s">
        <v>1545</v>
      </c>
      <c r="L233" s="78">
        <v>1.125</v>
      </c>
      <c r="M233" s="104">
        <v>395</v>
      </c>
      <c r="N233" s="78">
        <f t="shared" si="19"/>
        <v>587.82479748142021</v>
      </c>
    </row>
    <row r="234" spans="9:14" x14ac:dyDescent="0.2">
      <c r="I234" s="87">
        <v>34</v>
      </c>
      <c r="J234" s="78">
        <v>34</v>
      </c>
      <c r="K234" s="88" t="s">
        <v>1545</v>
      </c>
      <c r="L234" s="78">
        <v>1.25</v>
      </c>
      <c r="M234" s="104">
        <v>437</v>
      </c>
      <c r="N234" s="78">
        <f t="shared" si="19"/>
        <v>650.32768734020408</v>
      </c>
    </row>
    <row r="235" spans="9:14" x14ac:dyDescent="0.2">
      <c r="I235" s="87">
        <v>34</v>
      </c>
      <c r="J235" s="78">
        <v>34</v>
      </c>
      <c r="K235" s="88" t="s">
        <v>1545</v>
      </c>
      <c r="L235" s="78">
        <v>1.375</v>
      </c>
      <c r="M235" s="104">
        <v>479</v>
      </c>
      <c r="N235" s="78">
        <f t="shared" si="19"/>
        <v>712.83057719898807</v>
      </c>
    </row>
    <row r="236" spans="9:14" x14ac:dyDescent="0.2">
      <c r="I236" s="87">
        <v>34</v>
      </c>
      <c r="J236" s="78">
        <v>34</v>
      </c>
      <c r="K236" s="88" t="s">
        <v>1545</v>
      </c>
      <c r="L236" s="78">
        <v>1.5</v>
      </c>
      <c r="M236" s="104">
        <v>521</v>
      </c>
      <c r="N236" s="78">
        <f t="shared" si="19"/>
        <v>775.33346705777194</v>
      </c>
    </row>
    <row r="237" spans="9:14" x14ac:dyDescent="0.2">
      <c r="I237" s="96" t="s">
        <v>899</v>
      </c>
      <c r="J237" s="89" t="s">
        <v>899</v>
      </c>
      <c r="K237" s="80" t="s">
        <v>899</v>
      </c>
      <c r="L237" s="89" t="s">
        <v>899</v>
      </c>
      <c r="M237" s="95" t="s">
        <v>899</v>
      </c>
      <c r="N237" s="95" t="s">
        <v>899</v>
      </c>
    </row>
    <row r="238" spans="9:14" x14ac:dyDescent="0.2">
      <c r="I238" s="87">
        <v>36</v>
      </c>
      <c r="J238" s="78">
        <v>36</v>
      </c>
      <c r="K238" s="88" t="s">
        <v>1545</v>
      </c>
      <c r="L238" s="78">
        <v>0.16400000000000001</v>
      </c>
      <c r="M238" s="104">
        <v>63</v>
      </c>
      <c r="N238" s="78">
        <f t="shared" ref="N238:N256" si="20">M238*3.2808399*0.4535924</f>
        <v>93.754334788175896</v>
      </c>
    </row>
    <row r="239" spans="9:14" x14ac:dyDescent="0.2">
      <c r="I239" s="87">
        <v>36</v>
      </c>
      <c r="J239" s="78">
        <v>36</v>
      </c>
      <c r="K239" s="88" t="s">
        <v>1545</v>
      </c>
      <c r="L239" s="78">
        <v>0.19400000000000001</v>
      </c>
      <c r="M239" s="104">
        <v>74</v>
      </c>
      <c r="N239" s="78">
        <f t="shared" si="20"/>
        <v>110.12413927500025</v>
      </c>
    </row>
    <row r="240" spans="9:14" x14ac:dyDescent="0.2">
      <c r="I240" s="87">
        <v>36</v>
      </c>
      <c r="J240" s="78">
        <v>36</v>
      </c>
      <c r="K240" s="88" t="s">
        <v>1545</v>
      </c>
      <c r="L240" s="78">
        <v>0.23899999999999999</v>
      </c>
      <c r="M240" s="104">
        <v>91</v>
      </c>
      <c r="N240" s="78">
        <f t="shared" si="20"/>
        <v>135.42292802736517</v>
      </c>
    </row>
    <row r="241" spans="9:14" x14ac:dyDescent="0.2">
      <c r="I241" s="87">
        <v>36</v>
      </c>
      <c r="J241" s="78">
        <v>36</v>
      </c>
      <c r="K241" s="76" t="s">
        <v>1544</v>
      </c>
      <c r="L241" s="78">
        <v>0.25</v>
      </c>
      <c r="M241" s="104">
        <v>96</v>
      </c>
      <c r="N241" s="78">
        <f t="shared" si="20"/>
        <v>142.86374824864896</v>
      </c>
    </row>
    <row r="242" spans="9:14" x14ac:dyDescent="0.2">
      <c r="I242" s="87">
        <v>36</v>
      </c>
      <c r="J242" s="78">
        <v>36</v>
      </c>
      <c r="K242" s="76" t="s">
        <v>1544</v>
      </c>
      <c r="L242" s="78">
        <v>0.28100000000000003</v>
      </c>
      <c r="M242" s="104">
        <v>107</v>
      </c>
      <c r="N242" s="78">
        <f t="shared" si="20"/>
        <v>159.23355273547332</v>
      </c>
    </row>
    <row r="243" spans="9:14" x14ac:dyDescent="0.2">
      <c r="I243" s="87">
        <v>36</v>
      </c>
      <c r="J243" s="78">
        <v>36</v>
      </c>
      <c r="K243" s="76" t="s">
        <v>1544</v>
      </c>
      <c r="L243" s="78">
        <v>0.312</v>
      </c>
      <c r="M243" s="104">
        <v>119</v>
      </c>
      <c r="N243" s="78">
        <f t="shared" si="20"/>
        <v>177.09152126655445</v>
      </c>
    </row>
    <row r="244" spans="9:14" x14ac:dyDescent="0.2">
      <c r="I244" s="87">
        <v>36</v>
      </c>
      <c r="J244" s="78">
        <v>36</v>
      </c>
      <c r="K244" s="76" t="s">
        <v>1544</v>
      </c>
      <c r="L244" s="78">
        <v>0.34399999999999997</v>
      </c>
      <c r="M244" s="104">
        <v>131</v>
      </c>
      <c r="N244" s="78">
        <f t="shared" si="20"/>
        <v>194.94948979763558</v>
      </c>
    </row>
    <row r="245" spans="9:14" x14ac:dyDescent="0.2">
      <c r="I245" s="87">
        <v>36</v>
      </c>
      <c r="J245" s="78">
        <v>36</v>
      </c>
      <c r="K245" s="76" t="s">
        <v>1544</v>
      </c>
      <c r="L245" s="78">
        <v>0.375</v>
      </c>
      <c r="M245" s="104">
        <v>143</v>
      </c>
      <c r="N245" s="78">
        <f t="shared" si="20"/>
        <v>212.80745832871671</v>
      </c>
    </row>
    <row r="246" spans="9:14" x14ac:dyDescent="0.2">
      <c r="I246" s="87">
        <v>36</v>
      </c>
      <c r="J246" s="78">
        <v>36</v>
      </c>
      <c r="K246" s="76" t="s">
        <v>1544</v>
      </c>
      <c r="L246" s="78">
        <v>0.40600000000000003</v>
      </c>
      <c r="M246" s="104">
        <v>154</v>
      </c>
      <c r="N246" s="78">
        <f t="shared" si="20"/>
        <v>229.17726281554107</v>
      </c>
    </row>
    <row r="247" spans="9:14" x14ac:dyDescent="0.2">
      <c r="I247" s="87">
        <v>36</v>
      </c>
      <c r="J247" s="78">
        <v>36</v>
      </c>
      <c r="K247" s="76" t="s">
        <v>1544</v>
      </c>
      <c r="L247" s="78">
        <v>0.438</v>
      </c>
      <c r="M247" s="104">
        <v>166</v>
      </c>
      <c r="N247" s="78">
        <f t="shared" si="20"/>
        <v>247.0352313466222</v>
      </c>
    </row>
    <row r="248" spans="9:14" x14ac:dyDescent="0.2">
      <c r="I248" s="87">
        <v>36</v>
      </c>
      <c r="J248" s="78">
        <v>36</v>
      </c>
      <c r="K248" s="76" t="s">
        <v>1544</v>
      </c>
      <c r="L248" s="78">
        <v>0.5</v>
      </c>
      <c r="M248" s="104">
        <v>190</v>
      </c>
      <c r="N248" s="78">
        <f t="shared" si="20"/>
        <v>282.75116840878445</v>
      </c>
    </row>
    <row r="249" spans="9:14" x14ac:dyDescent="0.2">
      <c r="I249" s="87">
        <v>36</v>
      </c>
      <c r="J249" s="78">
        <v>36</v>
      </c>
      <c r="K249" s="88" t="s">
        <v>1545</v>
      </c>
      <c r="L249" s="78">
        <v>0.625</v>
      </c>
      <c r="M249" s="104">
        <v>236</v>
      </c>
      <c r="N249" s="78">
        <f t="shared" si="20"/>
        <v>351.20671444459538</v>
      </c>
    </row>
    <row r="250" spans="9:14" x14ac:dyDescent="0.2">
      <c r="I250" s="87">
        <v>36</v>
      </c>
      <c r="J250" s="78">
        <v>36</v>
      </c>
      <c r="K250" s="88" t="s">
        <v>1545</v>
      </c>
      <c r="L250" s="78">
        <v>0.75</v>
      </c>
      <c r="M250" s="104">
        <v>282</v>
      </c>
      <c r="N250" s="78">
        <f t="shared" si="20"/>
        <v>419.6622604804063</v>
      </c>
    </row>
    <row r="251" spans="9:14" x14ac:dyDescent="0.2">
      <c r="I251" s="87">
        <v>36</v>
      </c>
      <c r="J251" s="78">
        <v>36</v>
      </c>
      <c r="K251" s="88" t="s">
        <v>1545</v>
      </c>
      <c r="L251" s="78">
        <v>0.875</v>
      </c>
      <c r="M251" s="104">
        <v>329</v>
      </c>
      <c r="N251" s="78">
        <f t="shared" si="20"/>
        <v>489.60597056047408</v>
      </c>
    </row>
    <row r="252" spans="9:14" x14ac:dyDescent="0.2">
      <c r="I252" s="87">
        <v>36</v>
      </c>
      <c r="J252" s="78">
        <v>36</v>
      </c>
      <c r="K252" s="88" t="s">
        <v>1545</v>
      </c>
      <c r="L252" s="78">
        <v>1</v>
      </c>
      <c r="M252" s="104">
        <v>374</v>
      </c>
      <c r="N252" s="78">
        <f t="shared" si="20"/>
        <v>556.57335255202827</v>
      </c>
    </row>
    <row r="253" spans="9:14" x14ac:dyDescent="0.2">
      <c r="I253" s="87">
        <v>36</v>
      </c>
      <c r="J253" s="78">
        <v>36</v>
      </c>
      <c r="K253" s="88" t="s">
        <v>1545</v>
      </c>
      <c r="L253" s="78">
        <v>1.125</v>
      </c>
      <c r="M253" s="104">
        <v>419</v>
      </c>
      <c r="N253" s="78">
        <f t="shared" si="20"/>
        <v>623.54073454358252</v>
      </c>
    </row>
    <row r="254" spans="9:14" x14ac:dyDescent="0.2">
      <c r="I254" s="87">
        <v>36</v>
      </c>
      <c r="J254" s="78">
        <v>36</v>
      </c>
      <c r="K254" s="88" t="s">
        <v>1545</v>
      </c>
      <c r="L254" s="78">
        <v>1.25</v>
      </c>
      <c r="M254" s="104">
        <v>464</v>
      </c>
      <c r="N254" s="78">
        <f t="shared" si="20"/>
        <v>690.50811653513665</v>
      </c>
    </row>
    <row r="255" spans="9:14" x14ac:dyDescent="0.2">
      <c r="I255" s="87">
        <v>36</v>
      </c>
      <c r="J255" s="78">
        <v>36</v>
      </c>
      <c r="K255" s="88" t="s">
        <v>1545</v>
      </c>
      <c r="L255" s="78">
        <v>1.375</v>
      </c>
      <c r="M255" s="104">
        <v>509</v>
      </c>
      <c r="N255" s="78">
        <f t="shared" si="20"/>
        <v>757.4754985266909</v>
      </c>
    </row>
    <row r="256" spans="9:14" x14ac:dyDescent="0.2">
      <c r="I256" s="87">
        <v>36</v>
      </c>
      <c r="J256" s="78">
        <v>36</v>
      </c>
      <c r="K256" s="88" t="s">
        <v>1545</v>
      </c>
      <c r="L256" s="78">
        <v>1.5</v>
      </c>
      <c r="M256" s="104">
        <v>553</v>
      </c>
      <c r="N256" s="78">
        <f t="shared" si="20"/>
        <v>822.95471647398836</v>
      </c>
    </row>
    <row r="257" spans="9:14" x14ac:dyDescent="0.2">
      <c r="I257" s="96" t="s">
        <v>899</v>
      </c>
      <c r="J257" s="89" t="s">
        <v>899</v>
      </c>
      <c r="K257" s="80" t="s">
        <v>899</v>
      </c>
      <c r="L257" s="89" t="s">
        <v>899</v>
      </c>
      <c r="M257" s="95" t="s">
        <v>899</v>
      </c>
      <c r="N257" s="95" t="s">
        <v>899</v>
      </c>
    </row>
    <row r="258" spans="9:14" x14ac:dyDescent="0.2">
      <c r="I258" s="87">
        <v>42</v>
      </c>
      <c r="J258" s="78">
        <v>42</v>
      </c>
      <c r="K258" s="88" t="s">
        <v>1545</v>
      </c>
      <c r="L258" s="78">
        <v>0.25</v>
      </c>
      <c r="M258" s="104">
        <v>112</v>
      </c>
      <c r="N258" s="78">
        <f t="shared" ref="N258:N268" si="21">M258*3.2808399*0.4535924</f>
        <v>166.67437295675714</v>
      </c>
    </row>
    <row r="259" spans="9:14" x14ac:dyDescent="0.2">
      <c r="I259" s="87">
        <v>42</v>
      </c>
      <c r="J259" s="78">
        <v>42</v>
      </c>
      <c r="K259" s="88" t="s">
        <v>1545</v>
      </c>
      <c r="L259" s="78">
        <v>0.375</v>
      </c>
      <c r="M259" s="104">
        <v>167</v>
      </c>
      <c r="N259" s="78">
        <f t="shared" si="21"/>
        <v>248.52339539087893</v>
      </c>
    </row>
    <row r="260" spans="9:14" x14ac:dyDescent="0.2">
      <c r="I260" s="87">
        <v>42</v>
      </c>
      <c r="J260" s="78">
        <v>42</v>
      </c>
      <c r="K260" s="88" t="s">
        <v>1545</v>
      </c>
      <c r="L260" s="78">
        <v>0.5</v>
      </c>
      <c r="M260" s="104">
        <v>222</v>
      </c>
      <c r="N260" s="78">
        <f t="shared" si="21"/>
        <v>330.37241782500075</v>
      </c>
    </row>
    <row r="261" spans="9:14" x14ac:dyDescent="0.2">
      <c r="I261" s="87">
        <v>42</v>
      </c>
      <c r="J261" s="78">
        <v>42</v>
      </c>
      <c r="K261" s="88" t="s">
        <v>1545</v>
      </c>
      <c r="L261" s="78">
        <v>0.625</v>
      </c>
      <c r="M261" s="104">
        <v>276</v>
      </c>
      <c r="N261" s="78">
        <f t="shared" si="21"/>
        <v>410.73327621486578</v>
      </c>
    </row>
    <row r="262" spans="9:14" x14ac:dyDescent="0.2">
      <c r="I262" s="87">
        <v>42</v>
      </c>
      <c r="J262" s="78">
        <v>42</v>
      </c>
      <c r="K262" s="88" t="s">
        <v>1545</v>
      </c>
      <c r="L262" s="78">
        <v>0.75</v>
      </c>
      <c r="M262" s="104">
        <v>331</v>
      </c>
      <c r="N262" s="78">
        <f t="shared" si="21"/>
        <v>492.5822986489876</v>
      </c>
    </row>
    <row r="263" spans="9:14" x14ac:dyDescent="0.2">
      <c r="I263" s="87">
        <v>42</v>
      </c>
      <c r="J263" s="78">
        <v>42</v>
      </c>
      <c r="K263" s="88" t="s">
        <v>1545</v>
      </c>
      <c r="L263" s="78">
        <v>0.875</v>
      </c>
      <c r="M263" s="104">
        <v>385</v>
      </c>
      <c r="N263" s="78">
        <f t="shared" si="21"/>
        <v>572.94315703885263</v>
      </c>
    </row>
    <row r="264" spans="9:14" x14ac:dyDescent="0.2">
      <c r="I264" s="87">
        <v>42</v>
      </c>
      <c r="J264" s="78">
        <v>42</v>
      </c>
      <c r="K264" s="88" t="s">
        <v>1545</v>
      </c>
      <c r="L264" s="78">
        <v>1</v>
      </c>
      <c r="M264" s="104">
        <v>438</v>
      </c>
      <c r="N264" s="78">
        <f t="shared" si="21"/>
        <v>651.81585138446087</v>
      </c>
    </row>
    <row r="265" spans="9:14" x14ac:dyDescent="0.2">
      <c r="I265" s="87">
        <v>42</v>
      </c>
      <c r="J265" s="78">
        <v>42</v>
      </c>
      <c r="K265" s="88" t="s">
        <v>1545</v>
      </c>
      <c r="L265" s="78">
        <v>1.125</v>
      </c>
      <c r="M265" s="104">
        <v>492</v>
      </c>
      <c r="N265" s="78">
        <f t="shared" si="21"/>
        <v>732.1767097743259</v>
      </c>
    </row>
    <row r="266" spans="9:14" x14ac:dyDescent="0.2">
      <c r="I266" s="87">
        <v>42</v>
      </c>
      <c r="J266" s="78">
        <v>42</v>
      </c>
      <c r="K266" s="88" t="s">
        <v>1545</v>
      </c>
      <c r="L266" s="78">
        <v>1.25</v>
      </c>
      <c r="M266" s="104">
        <v>544</v>
      </c>
      <c r="N266" s="78">
        <f t="shared" si="21"/>
        <v>809.56124007567757</v>
      </c>
    </row>
    <row r="267" spans="9:14" x14ac:dyDescent="0.2">
      <c r="I267" s="87">
        <v>42</v>
      </c>
      <c r="J267" s="78">
        <v>42</v>
      </c>
      <c r="K267" s="88" t="s">
        <v>1545</v>
      </c>
      <c r="L267" s="78">
        <v>1.375</v>
      </c>
      <c r="M267" s="104">
        <v>597</v>
      </c>
      <c r="N267" s="78">
        <f t="shared" si="21"/>
        <v>888.43393442128581</v>
      </c>
    </row>
    <row r="268" spans="9:14" x14ac:dyDescent="0.2">
      <c r="I268" s="87">
        <v>42</v>
      </c>
      <c r="J268" s="78">
        <v>42</v>
      </c>
      <c r="K268" s="88" t="s">
        <v>1545</v>
      </c>
      <c r="L268" s="78">
        <v>1.5</v>
      </c>
      <c r="M268" s="104">
        <v>649</v>
      </c>
      <c r="N268" s="78">
        <f t="shared" si="21"/>
        <v>965.81846472263726</v>
      </c>
    </row>
    <row r="269" spans="9:14" x14ac:dyDescent="0.2">
      <c r="I269" s="96" t="s">
        <v>899</v>
      </c>
      <c r="J269" s="89" t="s">
        <v>899</v>
      </c>
      <c r="K269" s="80" t="s">
        <v>899</v>
      </c>
      <c r="L269" s="89" t="s">
        <v>899</v>
      </c>
      <c r="M269" s="95" t="s">
        <v>899</v>
      </c>
      <c r="N269" s="95" t="s">
        <v>899</v>
      </c>
    </row>
  </sheetData>
  <sheetProtection password="CDD2" sheet="1" objects="1" scenarios="1"/>
  <pageMargins left="0.75" right="0.75" top="1" bottom="1" header="0.5" footer="0.5"/>
  <pageSetup orientation="portrait" verticalDpi="0" r:id="rId1"/>
  <headerFooter alignWithMargins="0"/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361"/>
  <sheetViews>
    <sheetView showGridLines="0" topLeftCell="A23" workbookViewId="0"/>
  </sheetViews>
  <sheetFormatPr defaultRowHeight="12.75" x14ac:dyDescent="0.2"/>
  <sheetData>
    <row r="1" spans="2:14" ht="10.5" customHeight="1" thickBot="1" x14ac:dyDescent="0.25"/>
    <row r="2" spans="2:14" ht="13.5" thickBot="1" x14ac:dyDescent="0.25">
      <c r="E2" s="1072" t="s">
        <v>1802</v>
      </c>
      <c r="F2" s="1070">
        <f>G24*0.8</f>
        <v>115.2</v>
      </c>
      <c r="G2" s="17" t="s">
        <v>296</v>
      </c>
    </row>
    <row r="3" spans="2:14" ht="13.5" thickBot="1" x14ac:dyDescent="0.25"/>
    <row r="4" spans="2:14" ht="14.25" thickTop="1" thickBot="1" x14ac:dyDescent="0.25">
      <c r="B4" s="17" t="s">
        <v>297</v>
      </c>
      <c r="E4" s="1069" t="s">
        <v>1803</v>
      </c>
      <c r="F4" s="1068">
        <f>F2*25.4</f>
        <v>2926.08</v>
      </c>
    </row>
    <row r="5" spans="2:14" ht="13.5" thickTop="1" x14ac:dyDescent="0.2"/>
    <row r="7" spans="2:14" x14ac:dyDescent="0.2">
      <c r="M7" s="656" t="s">
        <v>289</v>
      </c>
    </row>
    <row r="8" spans="2:14" ht="13.5" thickBot="1" x14ac:dyDescent="0.25">
      <c r="C8" s="656" t="s">
        <v>290</v>
      </c>
      <c r="M8" s="656" t="s">
        <v>293</v>
      </c>
    </row>
    <row r="9" spans="2:14" ht="13.5" thickBot="1" x14ac:dyDescent="0.25">
      <c r="B9" s="1072" t="s">
        <v>1802</v>
      </c>
      <c r="C9" s="1070">
        <f>G24*0.1727</f>
        <v>24.8688</v>
      </c>
      <c r="M9" s="1071">
        <f>G24/4</f>
        <v>36</v>
      </c>
      <c r="N9" s="1073" t="s">
        <v>1802</v>
      </c>
    </row>
    <row r="10" spans="2:14" ht="14.25" thickTop="1" thickBot="1" x14ac:dyDescent="0.25">
      <c r="B10" s="1069" t="s">
        <v>1803</v>
      </c>
      <c r="C10" s="1068">
        <f>C9*25.4</f>
        <v>631.66751999999997</v>
      </c>
      <c r="M10" s="1068">
        <f>M9*25.4</f>
        <v>914.4</v>
      </c>
      <c r="N10" s="793" t="s">
        <v>1803</v>
      </c>
    </row>
    <row r="11" spans="2:14" ht="13.5" thickTop="1" x14ac:dyDescent="0.2"/>
    <row r="16" spans="2:14" ht="13.5" thickBot="1" x14ac:dyDescent="0.25">
      <c r="B16" s="192"/>
    </row>
    <row r="17" spans="2:10" ht="13.5" thickBot="1" x14ac:dyDescent="0.25">
      <c r="B17" s="192"/>
      <c r="F17" s="1070">
        <f>G24*0.3273</f>
        <v>47.1312</v>
      </c>
      <c r="G17" s="1073" t="s">
        <v>1802</v>
      </c>
      <c r="I17" s="656" t="s">
        <v>288</v>
      </c>
    </row>
    <row r="18" spans="2:10" ht="13.5" thickBot="1" x14ac:dyDescent="0.25">
      <c r="B18" s="192" t="s">
        <v>291</v>
      </c>
      <c r="I18" s="1070">
        <f>G24*0.9045</f>
        <v>130.24799999999999</v>
      </c>
      <c r="J18" s="1073" t="s">
        <v>1802</v>
      </c>
    </row>
    <row r="19" spans="2:10" ht="14.25" thickTop="1" thickBot="1" x14ac:dyDescent="0.25">
      <c r="B19" s="194" t="s">
        <v>295</v>
      </c>
      <c r="F19" s="1068">
        <f>F17*25.4</f>
        <v>1197.13248</v>
      </c>
      <c r="G19" s="793" t="s">
        <v>1803</v>
      </c>
      <c r="I19" s="1068">
        <f>I18*25.4</f>
        <v>3308.2991999999995</v>
      </c>
      <c r="J19" s="793" t="s">
        <v>1803</v>
      </c>
    </row>
    <row r="20" spans="2:10" ht="13.5" thickTop="1" x14ac:dyDescent="0.2">
      <c r="B20" s="194" t="s">
        <v>294</v>
      </c>
    </row>
    <row r="23" spans="2:10" ht="13.5" thickBot="1" x14ac:dyDescent="0.25"/>
    <row r="24" spans="2:10" ht="14.25" thickTop="1" thickBot="1" x14ac:dyDescent="0.25">
      <c r="G24" s="1062">
        <v>144</v>
      </c>
      <c r="H24" s="1073" t="s">
        <v>1802</v>
      </c>
    </row>
    <row r="25" spans="2:10" ht="14.25" thickTop="1" thickBot="1" x14ac:dyDescent="0.25"/>
    <row r="26" spans="2:10" ht="14.25" thickTop="1" thickBot="1" x14ac:dyDescent="0.25">
      <c r="G26" s="1067">
        <f>G24*25.4</f>
        <v>3657.6</v>
      </c>
      <c r="H26" s="793" t="s">
        <v>1803</v>
      </c>
    </row>
    <row r="27" spans="2:10" ht="13.5" thickTop="1" x14ac:dyDescent="0.2"/>
    <row r="39" spans="2:2" x14ac:dyDescent="0.2">
      <c r="B39" s="192" t="s">
        <v>292</v>
      </c>
    </row>
    <row r="40" spans="2:2" x14ac:dyDescent="0.2">
      <c r="B40" s="192" t="s">
        <v>304</v>
      </c>
    </row>
    <row r="41" spans="2:2" x14ac:dyDescent="0.2">
      <c r="B41" s="194" t="s">
        <v>295</v>
      </c>
    </row>
    <row r="42" spans="2:2" x14ac:dyDescent="0.2">
      <c r="B42" s="194" t="s">
        <v>294</v>
      </c>
    </row>
    <row r="49" spans="2:12" x14ac:dyDescent="0.2">
      <c r="B49" t="s">
        <v>302</v>
      </c>
    </row>
    <row r="50" spans="2:12" x14ac:dyDescent="0.2">
      <c r="B50" t="s">
        <v>303</v>
      </c>
    </row>
    <row r="51" spans="2:12" ht="13.5" thickBot="1" x14ac:dyDescent="0.25">
      <c r="B51" s="874" t="s">
        <v>327</v>
      </c>
      <c r="H51" s="192" t="s">
        <v>326</v>
      </c>
    </row>
    <row r="52" spans="2:12" ht="14.25" thickTop="1" thickBot="1" x14ac:dyDescent="0.25">
      <c r="B52" s="1063" t="s">
        <v>298</v>
      </c>
      <c r="C52" s="1063" t="s">
        <v>317</v>
      </c>
      <c r="D52" s="1063" t="s">
        <v>299</v>
      </c>
      <c r="E52" s="1063" t="s">
        <v>300</v>
      </c>
      <c r="F52" s="1063" t="s">
        <v>301</v>
      </c>
      <c r="H52" s="1063" t="s">
        <v>298</v>
      </c>
      <c r="I52" s="1063" t="s">
        <v>318</v>
      </c>
      <c r="J52" s="1063" t="s">
        <v>307</v>
      </c>
      <c r="K52" s="1063" t="s">
        <v>308</v>
      </c>
      <c r="L52" s="1063" t="s">
        <v>309</v>
      </c>
    </row>
    <row r="53" spans="2:12" ht="13.5" thickTop="1" x14ac:dyDescent="0.2">
      <c r="B53" s="973"/>
      <c r="C53" s="1074">
        <v>0.38</v>
      </c>
      <c r="D53" s="1057">
        <v>24</v>
      </c>
      <c r="E53" s="1075">
        <v>1.1299999999999999</v>
      </c>
      <c r="F53" s="1075">
        <v>4.25</v>
      </c>
      <c r="H53" s="973"/>
      <c r="I53" s="1084">
        <f t="shared" ref="I53:I76" si="0">C53*25.4</f>
        <v>9.6519999999999992</v>
      </c>
      <c r="J53" s="1026">
        <f t="shared" ref="J53:J76" si="1">D53*25.4</f>
        <v>609.59999999999991</v>
      </c>
      <c r="K53" s="1026">
        <f t="shared" ref="K53:K76" si="2">E53*25.4</f>
        <v>28.701999999999995</v>
      </c>
      <c r="L53" s="1085">
        <f t="shared" ref="L53:L76" si="3">F53*25.4</f>
        <v>107.94999999999999</v>
      </c>
    </row>
    <row r="54" spans="2:12" x14ac:dyDescent="0.2">
      <c r="B54" s="990"/>
      <c r="C54" s="1076">
        <v>0.5</v>
      </c>
      <c r="D54" s="415">
        <v>24</v>
      </c>
      <c r="E54" s="1077">
        <v>1.5</v>
      </c>
      <c r="F54" s="1077">
        <v>4.38</v>
      </c>
      <c r="H54" s="1059" t="s">
        <v>305</v>
      </c>
      <c r="I54" s="1086">
        <f t="shared" si="0"/>
        <v>12.7</v>
      </c>
      <c r="J54" s="1027">
        <f t="shared" si="1"/>
        <v>609.59999999999991</v>
      </c>
      <c r="K54" s="1027">
        <f t="shared" si="2"/>
        <v>38.099999999999994</v>
      </c>
      <c r="L54" s="1087">
        <f t="shared" si="3"/>
        <v>111.252</v>
      </c>
    </row>
    <row r="55" spans="2:12" x14ac:dyDescent="0.2">
      <c r="B55" s="990"/>
      <c r="C55" s="1076">
        <v>0.63</v>
      </c>
      <c r="D55" s="415">
        <v>24</v>
      </c>
      <c r="E55" s="1077">
        <v>1.88</v>
      </c>
      <c r="F55" s="1077">
        <v>4.5</v>
      </c>
      <c r="H55" s="1064">
        <v>660</v>
      </c>
      <c r="I55" s="1086">
        <f t="shared" si="0"/>
        <v>16.001999999999999</v>
      </c>
      <c r="J55" s="1027">
        <f t="shared" si="1"/>
        <v>609.59999999999991</v>
      </c>
      <c r="K55" s="1027">
        <f t="shared" si="2"/>
        <v>47.751999999999995</v>
      </c>
      <c r="L55" s="1087">
        <f t="shared" si="3"/>
        <v>114.3</v>
      </c>
    </row>
    <row r="56" spans="2:12" ht="13.5" thickBot="1" x14ac:dyDescent="0.25">
      <c r="B56" s="974"/>
      <c r="C56" s="1078">
        <v>0.75</v>
      </c>
      <c r="D56" s="1079">
        <v>24</v>
      </c>
      <c r="E56" s="1080">
        <v>2.25</v>
      </c>
      <c r="F56" s="1080">
        <v>4.6900000000000004</v>
      </c>
      <c r="H56" s="974"/>
      <c r="I56" s="1088">
        <f t="shared" si="0"/>
        <v>19.049999999999997</v>
      </c>
      <c r="J56" s="1089">
        <f t="shared" si="1"/>
        <v>609.59999999999991</v>
      </c>
      <c r="K56" s="1089">
        <f t="shared" si="2"/>
        <v>57.15</v>
      </c>
      <c r="L56" s="1090">
        <f t="shared" si="3"/>
        <v>119.126</v>
      </c>
    </row>
    <row r="57" spans="2:12" ht="13.5" thickTop="1" x14ac:dyDescent="0.2">
      <c r="B57" s="973"/>
      <c r="C57" s="1081">
        <v>0.38</v>
      </c>
      <c r="D57" s="1057">
        <v>26</v>
      </c>
      <c r="E57" s="1075">
        <v>4.5</v>
      </c>
      <c r="F57" s="1075">
        <v>4.5</v>
      </c>
      <c r="H57" s="973"/>
      <c r="I57" s="1084">
        <f t="shared" si="0"/>
        <v>9.6519999999999992</v>
      </c>
      <c r="J57" s="1026">
        <f t="shared" si="1"/>
        <v>660.4</v>
      </c>
      <c r="K57" s="1026">
        <f t="shared" si="2"/>
        <v>114.3</v>
      </c>
      <c r="L57" s="1085">
        <f t="shared" si="3"/>
        <v>114.3</v>
      </c>
    </row>
    <row r="58" spans="2:12" x14ac:dyDescent="0.2">
      <c r="B58" s="990"/>
      <c r="C58" s="1082">
        <v>0.5</v>
      </c>
      <c r="D58" s="415">
        <v>26</v>
      </c>
      <c r="E58" s="1077">
        <v>4.63</v>
      </c>
      <c r="F58" s="1077">
        <v>4.63</v>
      </c>
      <c r="H58" s="1059" t="s">
        <v>306</v>
      </c>
      <c r="I58" s="1086">
        <f t="shared" si="0"/>
        <v>12.7</v>
      </c>
      <c r="J58" s="1027">
        <f t="shared" si="1"/>
        <v>660.4</v>
      </c>
      <c r="K58" s="1027">
        <f t="shared" si="2"/>
        <v>117.60199999999999</v>
      </c>
      <c r="L58" s="1087">
        <f t="shared" si="3"/>
        <v>117.60199999999999</v>
      </c>
    </row>
    <row r="59" spans="2:12" x14ac:dyDescent="0.2">
      <c r="B59" s="990"/>
      <c r="C59" s="1082">
        <v>0.63</v>
      </c>
      <c r="D59" s="415">
        <v>26</v>
      </c>
      <c r="E59" s="1077">
        <v>4.75</v>
      </c>
      <c r="F59" s="1077">
        <v>4.75</v>
      </c>
      <c r="H59" s="1064">
        <v>711</v>
      </c>
      <c r="I59" s="1086">
        <f t="shared" si="0"/>
        <v>16.001999999999999</v>
      </c>
      <c r="J59" s="1027">
        <f t="shared" si="1"/>
        <v>660.4</v>
      </c>
      <c r="K59" s="1027">
        <f t="shared" si="2"/>
        <v>120.64999999999999</v>
      </c>
      <c r="L59" s="1087">
        <f t="shared" si="3"/>
        <v>120.64999999999999</v>
      </c>
    </row>
    <row r="60" spans="2:12" ht="13.5" thickBot="1" x14ac:dyDescent="0.25">
      <c r="B60" s="974"/>
      <c r="C60" s="1083">
        <v>0.75</v>
      </c>
      <c r="D60" s="1079">
        <v>26</v>
      </c>
      <c r="E60" s="1080">
        <v>4.9400000000000004</v>
      </c>
      <c r="F60" s="1080">
        <v>4.9400000000000004</v>
      </c>
      <c r="H60" s="974"/>
      <c r="I60" s="1088">
        <f t="shared" si="0"/>
        <v>19.049999999999997</v>
      </c>
      <c r="J60" s="1089">
        <f t="shared" si="1"/>
        <v>660.4</v>
      </c>
      <c r="K60" s="1089">
        <f t="shared" si="2"/>
        <v>125.476</v>
      </c>
      <c r="L60" s="1090">
        <f t="shared" si="3"/>
        <v>125.476</v>
      </c>
    </row>
    <row r="61" spans="2:12" ht="13.5" thickTop="1" x14ac:dyDescent="0.2">
      <c r="B61" s="973"/>
      <c r="C61" s="1081">
        <v>0.38</v>
      </c>
      <c r="D61" s="1057">
        <v>30</v>
      </c>
      <c r="E61" s="1075">
        <v>4.5</v>
      </c>
      <c r="F61" s="1075">
        <v>4.5</v>
      </c>
      <c r="H61" s="973"/>
      <c r="I61" s="1084">
        <f t="shared" si="0"/>
        <v>9.6519999999999992</v>
      </c>
      <c r="J61" s="1026">
        <f t="shared" si="1"/>
        <v>762</v>
      </c>
      <c r="K61" s="1026">
        <f t="shared" si="2"/>
        <v>114.3</v>
      </c>
      <c r="L61" s="1085">
        <f t="shared" si="3"/>
        <v>114.3</v>
      </c>
    </row>
    <row r="62" spans="2:12" x14ac:dyDescent="0.2">
      <c r="B62" s="990"/>
      <c r="C62" s="1082">
        <v>0.5</v>
      </c>
      <c r="D62" s="415">
        <v>30</v>
      </c>
      <c r="E62" s="1077">
        <v>4.63</v>
      </c>
      <c r="F62" s="1077">
        <v>4.63</v>
      </c>
      <c r="H62" s="1059" t="s">
        <v>310</v>
      </c>
      <c r="I62" s="1086">
        <f t="shared" si="0"/>
        <v>12.7</v>
      </c>
      <c r="J62" s="1027">
        <f t="shared" si="1"/>
        <v>762</v>
      </c>
      <c r="K62" s="1027">
        <f t="shared" si="2"/>
        <v>117.60199999999999</v>
      </c>
      <c r="L62" s="1087">
        <f t="shared" si="3"/>
        <v>117.60199999999999</v>
      </c>
    </row>
    <row r="63" spans="2:12" x14ac:dyDescent="0.2">
      <c r="B63" s="990"/>
      <c r="C63" s="1082">
        <v>0.63</v>
      </c>
      <c r="D63" s="415">
        <v>30</v>
      </c>
      <c r="E63" s="1077">
        <v>4.8099999999999996</v>
      </c>
      <c r="F63" s="1077">
        <v>4.8099999999999996</v>
      </c>
      <c r="H63" s="1064">
        <f>30*25.4</f>
        <v>762</v>
      </c>
      <c r="I63" s="1086">
        <f t="shared" si="0"/>
        <v>16.001999999999999</v>
      </c>
      <c r="J63" s="1027">
        <f t="shared" si="1"/>
        <v>762</v>
      </c>
      <c r="K63" s="1027">
        <f t="shared" si="2"/>
        <v>122.17399999999998</v>
      </c>
      <c r="L63" s="1087">
        <f t="shared" si="3"/>
        <v>122.17399999999998</v>
      </c>
    </row>
    <row r="64" spans="2:12" ht="13.5" thickBot="1" x14ac:dyDescent="0.25">
      <c r="B64" s="974"/>
      <c r="C64" s="1083">
        <v>0.75</v>
      </c>
      <c r="D64" s="1079">
        <v>30</v>
      </c>
      <c r="E64" s="1080">
        <v>5</v>
      </c>
      <c r="F64" s="1080">
        <v>5</v>
      </c>
      <c r="H64" s="974"/>
      <c r="I64" s="1088">
        <f t="shared" si="0"/>
        <v>19.049999999999997</v>
      </c>
      <c r="J64" s="1089">
        <f t="shared" si="1"/>
        <v>762</v>
      </c>
      <c r="K64" s="1089">
        <f t="shared" si="2"/>
        <v>127</v>
      </c>
      <c r="L64" s="1090">
        <f t="shared" si="3"/>
        <v>127</v>
      </c>
    </row>
    <row r="65" spans="2:12" ht="13.5" thickTop="1" x14ac:dyDescent="0.2">
      <c r="B65" s="973"/>
      <c r="C65" s="1081">
        <v>0.38</v>
      </c>
      <c r="D65" s="1057">
        <v>30</v>
      </c>
      <c r="E65" s="1075">
        <v>5</v>
      </c>
      <c r="F65" s="1075">
        <v>5</v>
      </c>
      <c r="H65" s="973"/>
      <c r="I65" s="1084">
        <f t="shared" si="0"/>
        <v>9.6519999999999992</v>
      </c>
      <c r="J65" s="1026">
        <f t="shared" si="1"/>
        <v>762</v>
      </c>
      <c r="K65" s="1026">
        <f t="shared" si="2"/>
        <v>127</v>
      </c>
      <c r="L65" s="1085">
        <f t="shared" si="3"/>
        <v>127</v>
      </c>
    </row>
    <row r="66" spans="2:12" x14ac:dyDescent="0.2">
      <c r="B66" s="990"/>
      <c r="C66" s="1082">
        <v>0.5</v>
      </c>
      <c r="D66" s="415">
        <v>30</v>
      </c>
      <c r="E66" s="1077">
        <v>5.19</v>
      </c>
      <c r="F66" s="1077">
        <v>5.19</v>
      </c>
      <c r="H66" s="1059" t="s">
        <v>311</v>
      </c>
      <c r="I66" s="1086">
        <f t="shared" si="0"/>
        <v>12.7</v>
      </c>
      <c r="J66" s="1027">
        <f t="shared" si="1"/>
        <v>762</v>
      </c>
      <c r="K66" s="1027">
        <f t="shared" si="2"/>
        <v>131.82599999999999</v>
      </c>
      <c r="L66" s="1087">
        <f t="shared" si="3"/>
        <v>131.82599999999999</v>
      </c>
    </row>
    <row r="67" spans="2:12" x14ac:dyDescent="0.2">
      <c r="B67" s="990"/>
      <c r="C67" s="1082">
        <v>0.63</v>
      </c>
      <c r="D67" s="415">
        <v>30</v>
      </c>
      <c r="E67" s="1077">
        <v>5.31</v>
      </c>
      <c r="F67" s="1077">
        <v>5.31</v>
      </c>
      <c r="H67" s="1065">
        <f>32*25.4</f>
        <v>812.8</v>
      </c>
      <c r="I67" s="1086">
        <f t="shared" si="0"/>
        <v>16.001999999999999</v>
      </c>
      <c r="J67" s="1027">
        <f t="shared" si="1"/>
        <v>762</v>
      </c>
      <c r="K67" s="1027">
        <f t="shared" si="2"/>
        <v>134.874</v>
      </c>
      <c r="L67" s="1087">
        <f t="shared" si="3"/>
        <v>134.874</v>
      </c>
    </row>
    <row r="68" spans="2:12" ht="13.5" thickBot="1" x14ac:dyDescent="0.25">
      <c r="B68" s="974"/>
      <c r="C68" s="1083">
        <v>0.75</v>
      </c>
      <c r="D68" s="1079">
        <v>30</v>
      </c>
      <c r="E68" s="1080">
        <v>5.5</v>
      </c>
      <c r="F68" s="1080">
        <v>5.5</v>
      </c>
      <c r="H68" s="974"/>
      <c r="I68" s="1088">
        <f t="shared" si="0"/>
        <v>19.049999999999997</v>
      </c>
      <c r="J68" s="1089">
        <f t="shared" si="1"/>
        <v>762</v>
      </c>
      <c r="K68" s="1089">
        <f t="shared" si="2"/>
        <v>139.69999999999999</v>
      </c>
      <c r="L68" s="1090">
        <f t="shared" si="3"/>
        <v>139.69999999999999</v>
      </c>
    </row>
    <row r="69" spans="2:12" ht="13.5" thickTop="1" x14ac:dyDescent="0.2">
      <c r="B69" s="973"/>
      <c r="C69" s="1081">
        <v>0.38</v>
      </c>
      <c r="D69" s="1057">
        <v>34</v>
      </c>
      <c r="E69" s="1075">
        <v>5</v>
      </c>
      <c r="F69" s="1075">
        <v>5</v>
      </c>
      <c r="H69" s="973"/>
      <c r="I69" s="1084">
        <f t="shared" si="0"/>
        <v>9.6519999999999992</v>
      </c>
      <c r="J69" s="1026">
        <f t="shared" si="1"/>
        <v>863.59999999999991</v>
      </c>
      <c r="K69" s="1026">
        <f t="shared" si="2"/>
        <v>127</v>
      </c>
      <c r="L69" s="1085">
        <f t="shared" si="3"/>
        <v>127</v>
      </c>
    </row>
    <row r="70" spans="2:12" x14ac:dyDescent="0.2">
      <c r="B70" s="990"/>
      <c r="C70" s="1082">
        <v>0.5</v>
      </c>
      <c r="D70" s="415">
        <v>34</v>
      </c>
      <c r="E70" s="1077">
        <v>5.19</v>
      </c>
      <c r="F70" s="1077">
        <v>5.19</v>
      </c>
      <c r="H70" s="1059">
        <v>34</v>
      </c>
      <c r="I70" s="1086">
        <f t="shared" si="0"/>
        <v>12.7</v>
      </c>
      <c r="J70" s="1027">
        <f t="shared" si="1"/>
        <v>863.59999999999991</v>
      </c>
      <c r="K70" s="1027">
        <f t="shared" si="2"/>
        <v>131.82599999999999</v>
      </c>
      <c r="L70" s="1087">
        <f t="shared" si="3"/>
        <v>131.82599999999999</v>
      </c>
    </row>
    <row r="71" spans="2:12" x14ac:dyDescent="0.2">
      <c r="B71" s="990"/>
      <c r="C71" s="1082">
        <v>0.63</v>
      </c>
      <c r="D71" s="415">
        <v>33</v>
      </c>
      <c r="E71" s="1077">
        <v>5.44</v>
      </c>
      <c r="F71" s="1077">
        <v>5.44</v>
      </c>
      <c r="H71" s="1064">
        <v>864</v>
      </c>
      <c r="I71" s="1086">
        <f t="shared" si="0"/>
        <v>16.001999999999999</v>
      </c>
      <c r="J71" s="1027">
        <f t="shared" si="1"/>
        <v>838.19999999999993</v>
      </c>
      <c r="K71" s="1027">
        <f t="shared" si="2"/>
        <v>138.17600000000002</v>
      </c>
      <c r="L71" s="1087">
        <f t="shared" si="3"/>
        <v>138.17600000000002</v>
      </c>
    </row>
    <row r="72" spans="2:12" ht="13.5" thickBot="1" x14ac:dyDescent="0.25">
      <c r="B72" s="974"/>
      <c r="C72" s="1083">
        <v>0.75</v>
      </c>
      <c r="D72" s="1079">
        <v>30</v>
      </c>
      <c r="E72" s="1080">
        <v>6.06</v>
      </c>
      <c r="F72" s="1080">
        <v>6.06</v>
      </c>
      <c r="H72" s="974"/>
      <c r="I72" s="1088">
        <f t="shared" si="0"/>
        <v>19.049999999999997</v>
      </c>
      <c r="J72" s="1089">
        <f t="shared" si="1"/>
        <v>762</v>
      </c>
      <c r="K72" s="1089">
        <f t="shared" si="2"/>
        <v>153.92399999999998</v>
      </c>
      <c r="L72" s="1090">
        <f t="shared" si="3"/>
        <v>153.92399999999998</v>
      </c>
    </row>
    <row r="73" spans="2:12" ht="13.5" thickTop="1" x14ac:dyDescent="0.2">
      <c r="B73" s="973"/>
      <c r="C73" s="1081">
        <v>0.38</v>
      </c>
      <c r="D73" s="1057">
        <v>36</v>
      </c>
      <c r="E73" s="1075">
        <v>5.25</v>
      </c>
      <c r="F73" s="1075">
        <v>5.25</v>
      </c>
      <c r="H73" s="973"/>
      <c r="I73" s="1084">
        <f t="shared" si="0"/>
        <v>9.6519999999999992</v>
      </c>
      <c r="J73" s="1026">
        <f t="shared" si="1"/>
        <v>914.4</v>
      </c>
      <c r="K73" s="1026">
        <f t="shared" si="2"/>
        <v>133.35</v>
      </c>
      <c r="L73" s="1085">
        <f t="shared" si="3"/>
        <v>133.35</v>
      </c>
    </row>
    <row r="74" spans="2:12" x14ac:dyDescent="0.2">
      <c r="B74" s="990"/>
      <c r="C74" s="1082">
        <v>0.5</v>
      </c>
      <c r="D74" s="415">
        <v>36</v>
      </c>
      <c r="E74" s="1077">
        <v>5.44</v>
      </c>
      <c r="F74" s="1077">
        <v>5.44</v>
      </c>
      <c r="H74" s="1059" t="s">
        <v>312</v>
      </c>
      <c r="I74" s="1086">
        <f t="shared" si="0"/>
        <v>12.7</v>
      </c>
      <c r="J74" s="1027">
        <f t="shared" si="1"/>
        <v>914.4</v>
      </c>
      <c r="K74" s="1027">
        <f t="shared" si="2"/>
        <v>138.17600000000002</v>
      </c>
      <c r="L74" s="1087">
        <f t="shared" si="3"/>
        <v>138.17600000000002</v>
      </c>
    </row>
    <row r="75" spans="2:12" x14ac:dyDescent="0.2">
      <c r="B75" s="990"/>
      <c r="C75" s="1082">
        <v>0.63</v>
      </c>
      <c r="D75" s="415">
        <v>36</v>
      </c>
      <c r="E75" s="1077">
        <v>5.63</v>
      </c>
      <c r="F75" s="1077">
        <v>5.63</v>
      </c>
      <c r="H75" s="1065">
        <f>36*25.4</f>
        <v>914.4</v>
      </c>
      <c r="I75" s="1086">
        <f t="shared" si="0"/>
        <v>16.001999999999999</v>
      </c>
      <c r="J75" s="1027">
        <f t="shared" si="1"/>
        <v>914.4</v>
      </c>
      <c r="K75" s="1027">
        <f t="shared" si="2"/>
        <v>143.00199999999998</v>
      </c>
      <c r="L75" s="1087">
        <f t="shared" si="3"/>
        <v>143.00199999999998</v>
      </c>
    </row>
    <row r="76" spans="2:12" ht="13.5" thickBot="1" x14ac:dyDescent="0.25">
      <c r="B76" s="974"/>
      <c r="C76" s="1083">
        <v>0.75</v>
      </c>
      <c r="D76" s="1079">
        <v>36</v>
      </c>
      <c r="E76" s="1080">
        <v>5.75</v>
      </c>
      <c r="F76" s="1080">
        <v>5.75</v>
      </c>
      <c r="H76" s="974"/>
      <c r="I76" s="1088">
        <f t="shared" si="0"/>
        <v>19.049999999999997</v>
      </c>
      <c r="J76" s="1089">
        <f t="shared" si="1"/>
        <v>914.4</v>
      </c>
      <c r="K76" s="1089">
        <f t="shared" si="2"/>
        <v>146.04999999999998</v>
      </c>
      <c r="L76" s="1090">
        <f t="shared" si="3"/>
        <v>146.04999999999998</v>
      </c>
    </row>
    <row r="77" spans="2:12" ht="14.25" thickTop="1" thickBot="1" x14ac:dyDescent="0.25">
      <c r="B77" s="1063" t="s">
        <v>298</v>
      </c>
      <c r="C77" s="1063" t="s">
        <v>317</v>
      </c>
      <c r="D77" s="1063" t="s">
        <v>299</v>
      </c>
      <c r="E77" s="1063" t="s">
        <v>300</v>
      </c>
      <c r="F77" s="1063" t="s">
        <v>301</v>
      </c>
      <c r="H77" s="1063" t="s">
        <v>298</v>
      </c>
      <c r="I77" s="1063" t="s">
        <v>318</v>
      </c>
      <c r="J77" s="1063" t="s">
        <v>307</v>
      </c>
      <c r="K77" s="1063" t="s">
        <v>308</v>
      </c>
      <c r="L77" s="1063" t="s">
        <v>309</v>
      </c>
    </row>
    <row r="78" spans="2:12" ht="13.5" thickTop="1" x14ac:dyDescent="0.2">
      <c r="B78" s="973"/>
      <c r="C78" s="1074">
        <v>0.38</v>
      </c>
      <c r="D78" s="1057">
        <v>36</v>
      </c>
      <c r="E78" s="1075">
        <v>1.1299999999999999</v>
      </c>
      <c r="F78" s="1075">
        <v>5.81</v>
      </c>
      <c r="H78" s="973"/>
      <c r="I78" s="1084">
        <f t="shared" ref="I78:I101" si="4">C78*25.4</f>
        <v>9.6519999999999992</v>
      </c>
      <c r="J78" s="1026">
        <f t="shared" ref="J78:J101" si="5">D78*25.4</f>
        <v>914.4</v>
      </c>
      <c r="K78" s="1026">
        <f t="shared" ref="K78:K101" si="6">E78*25.4</f>
        <v>28.701999999999995</v>
      </c>
      <c r="L78" s="1085">
        <f t="shared" ref="L78:L101" si="7">F78*25.4</f>
        <v>147.57399999999998</v>
      </c>
    </row>
    <row r="79" spans="2:12" x14ac:dyDescent="0.2">
      <c r="B79" s="990"/>
      <c r="C79" s="1076">
        <v>0.5</v>
      </c>
      <c r="D79" s="415">
        <v>36</v>
      </c>
      <c r="E79" s="1077">
        <v>1.5</v>
      </c>
      <c r="F79" s="1077">
        <v>6</v>
      </c>
      <c r="H79" s="1059" t="s">
        <v>313</v>
      </c>
      <c r="I79" s="1086">
        <f t="shared" si="4"/>
        <v>12.7</v>
      </c>
      <c r="J79" s="1027">
        <f t="shared" si="5"/>
        <v>914.4</v>
      </c>
      <c r="K79" s="1027">
        <f t="shared" si="6"/>
        <v>38.099999999999994</v>
      </c>
      <c r="L79" s="1087">
        <f t="shared" si="7"/>
        <v>152.39999999999998</v>
      </c>
    </row>
    <row r="80" spans="2:12" x14ac:dyDescent="0.2">
      <c r="B80" s="990"/>
      <c r="C80" s="1076">
        <v>0.63</v>
      </c>
      <c r="D80" s="415">
        <v>36</v>
      </c>
      <c r="E80" s="1077">
        <v>1.88</v>
      </c>
      <c r="F80" s="1077">
        <v>6.13</v>
      </c>
      <c r="H80" s="1065">
        <f>38*25.4</f>
        <v>965.19999999999993</v>
      </c>
      <c r="I80" s="1086">
        <f t="shared" si="4"/>
        <v>16.001999999999999</v>
      </c>
      <c r="J80" s="1027">
        <f t="shared" si="5"/>
        <v>914.4</v>
      </c>
      <c r="K80" s="1027">
        <f t="shared" si="6"/>
        <v>47.751999999999995</v>
      </c>
      <c r="L80" s="1087">
        <f t="shared" si="7"/>
        <v>155.702</v>
      </c>
    </row>
    <row r="81" spans="2:12" ht="13.5" thickBot="1" x14ac:dyDescent="0.25">
      <c r="B81" s="974"/>
      <c r="C81" s="1078">
        <v>0.75</v>
      </c>
      <c r="D81" s="1079">
        <v>36</v>
      </c>
      <c r="E81" s="1080">
        <v>2.25</v>
      </c>
      <c r="F81" s="1080">
        <v>6.31</v>
      </c>
      <c r="H81" s="974"/>
      <c r="I81" s="1088">
        <f t="shared" si="4"/>
        <v>19.049999999999997</v>
      </c>
      <c r="J81" s="1089">
        <f t="shared" si="5"/>
        <v>914.4</v>
      </c>
      <c r="K81" s="1089">
        <f t="shared" si="6"/>
        <v>57.15</v>
      </c>
      <c r="L81" s="1090">
        <f t="shared" si="7"/>
        <v>160.27399999999997</v>
      </c>
    </row>
    <row r="82" spans="2:12" ht="13.5" thickTop="1" x14ac:dyDescent="0.2">
      <c r="B82" s="973"/>
      <c r="C82" s="1081">
        <v>0.38</v>
      </c>
      <c r="D82" s="1057">
        <v>40</v>
      </c>
      <c r="E82" s="1075">
        <v>1.1299999999999999</v>
      </c>
      <c r="F82" s="1075">
        <v>5.81</v>
      </c>
      <c r="H82" s="973"/>
      <c r="I82" s="1084">
        <f t="shared" si="4"/>
        <v>9.6519999999999992</v>
      </c>
      <c r="J82" s="1026">
        <f t="shared" si="5"/>
        <v>1016</v>
      </c>
      <c r="K82" s="1026">
        <f t="shared" si="6"/>
        <v>28.701999999999995</v>
      </c>
      <c r="L82" s="1085">
        <f t="shared" si="7"/>
        <v>147.57399999999998</v>
      </c>
    </row>
    <row r="83" spans="2:12" x14ac:dyDescent="0.2">
      <c r="B83" s="990"/>
      <c r="C83" s="1082">
        <v>0.5</v>
      </c>
      <c r="D83" s="415">
        <v>40</v>
      </c>
      <c r="E83" s="1077">
        <v>1.5</v>
      </c>
      <c r="F83" s="1077">
        <v>5.94</v>
      </c>
      <c r="H83" s="1059" t="s">
        <v>314</v>
      </c>
      <c r="I83" s="1086">
        <f t="shared" si="4"/>
        <v>12.7</v>
      </c>
      <c r="J83" s="1027">
        <f t="shared" si="5"/>
        <v>1016</v>
      </c>
      <c r="K83" s="1027">
        <f t="shared" si="6"/>
        <v>38.099999999999994</v>
      </c>
      <c r="L83" s="1087">
        <f t="shared" si="7"/>
        <v>150.876</v>
      </c>
    </row>
    <row r="84" spans="2:12" x14ac:dyDescent="0.2">
      <c r="B84" s="990"/>
      <c r="C84" s="1082">
        <v>0.63</v>
      </c>
      <c r="D84" s="415">
        <v>36</v>
      </c>
      <c r="E84" s="1077">
        <v>1.88</v>
      </c>
      <c r="F84" s="1077">
        <v>6.69</v>
      </c>
      <c r="H84" s="1066">
        <f>40*25.4</f>
        <v>1016</v>
      </c>
      <c r="I84" s="1086">
        <f t="shared" si="4"/>
        <v>16.001999999999999</v>
      </c>
      <c r="J84" s="1027">
        <f t="shared" si="5"/>
        <v>914.4</v>
      </c>
      <c r="K84" s="1027">
        <f t="shared" si="6"/>
        <v>47.751999999999995</v>
      </c>
      <c r="L84" s="1087">
        <f t="shared" si="7"/>
        <v>169.92599999999999</v>
      </c>
    </row>
    <row r="85" spans="2:12" ht="13.5" thickBot="1" x14ac:dyDescent="0.25">
      <c r="B85" s="974"/>
      <c r="C85" s="1083">
        <v>0.75</v>
      </c>
      <c r="D85" s="1079">
        <v>36</v>
      </c>
      <c r="E85" s="1080">
        <v>2.25</v>
      </c>
      <c r="F85" s="1080">
        <v>6.88</v>
      </c>
      <c r="H85" s="974"/>
      <c r="I85" s="1088">
        <f t="shared" si="4"/>
        <v>19.049999999999997</v>
      </c>
      <c r="J85" s="1089">
        <f t="shared" si="5"/>
        <v>914.4</v>
      </c>
      <c r="K85" s="1089">
        <f t="shared" si="6"/>
        <v>57.15</v>
      </c>
      <c r="L85" s="1090">
        <f t="shared" si="7"/>
        <v>174.75199999999998</v>
      </c>
    </row>
    <row r="86" spans="2:12" ht="13.5" thickTop="1" x14ac:dyDescent="0.2">
      <c r="B86" s="973"/>
      <c r="C86" s="1081">
        <v>0.38</v>
      </c>
      <c r="D86" s="1057">
        <v>42</v>
      </c>
      <c r="E86" s="1075">
        <v>1.1299999999999999</v>
      </c>
      <c r="F86" s="1075">
        <v>6.06</v>
      </c>
      <c r="H86" s="973"/>
      <c r="I86" s="1084">
        <f t="shared" si="4"/>
        <v>9.6519999999999992</v>
      </c>
      <c r="J86" s="1026">
        <f t="shared" si="5"/>
        <v>1066.8</v>
      </c>
      <c r="K86" s="1026">
        <f t="shared" si="6"/>
        <v>28.701999999999995</v>
      </c>
      <c r="L86" s="1085">
        <f t="shared" si="7"/>
        <v>153.92399999999998</v>
      </c>
    </row>
    <row r="87" spans="2:12" x14ac:dyDescent="0.2">
      <c r="B87" s="990"/>
      <c r="C87" s="1082">
        <v>0.5</v>
      </c>
      <c r="D87" s="415">
        <v>42</v>
      </c>
      <c r="E87" s="1077">
        <v>1.5</v>
      </c>
      <c r="F87" s="1077">
        <v>6.25</v>
      </c>
      <c r="H87" s="1059" t="s">
        <v>315</v>
      </c>
      <c r="I87" s="1086">
        <f t="shared" si="4"/>
        <v>12.7</v>
      </c>
      <c r="J87" s="1027">
        <f t="shared" si="5"/>
        <v>1066.8</v>
      </c>
      <c r="K87" s="1027">
        <f t="shared" si="6"/>
        <v>38.099999999999994</v>
      </c>
      <c r="L87" s="1087">
        <f t="shared" si="7"/>
        <v>158.75</v>
      </c>
    </row>
    <row r="88" spans="2:12" x14ac:dyDescent="0.2">
      <c r="B88" s="990"/>
      <c r="C88" s="1082">
        <v>0.63</v>
      </c>
      <c r="D88" s="415">
        <v>42</v>
      </c>
      <c r="E88" s="1077">
        <v>1.88</v>
      </c>
      <c r="F88" s="1077">
        <v>6.38</v>
      </c>
      <c r="H88" s="1066">
        <f>42*25.4</f>
        <v>1066.8</v>
      </c>
      <c r="I88" s="1086">
        <f t="shared" si="4"/>
        <v>16.001999999999999</v>
      </c>
      <c r="J88" s="1027">
        <f t="shared" si="5"/>
        <v>1066.8</v>
      </c>
      <c r="K88" s="1027">
        <f t="shared" si="6"/>
        <v>47.751999999999995</v>
      </c>
      <c r="L88" s="1087">
        <f t="shared" si="7"/>
        <v>162.05199999999999</v>
      </c>
    </row>
    <row r="89" spans="2:12" ht="13.5" thickBot="1" x14ac:dyDescent="0.25">
      <c r="B89" s="974"/>
      <c r="C89" s="1083">
        <v>0.75</v>
      </c>
      <c r="D89" s="1079">
        <v>40</v>
      </c>
      <c r="E89" s="1080">
        <v>2.25</v>
      </c>
      <c r="F89" s="1080">
        <v>6.81</v>
      </c>
      <c r="H89" s="974"/>
      <c r="I89" s="1088">
        <f t="shared" si="4"/>
        <v>19.049999999999997</v>
      </c>
      <c r="J89" s="1089">
        <f t="shared" si="5"/>
        <v>1016</v>
      </c>
      <c r="K89" s="1089">
        <f t="shared" si="6"/>
        <v>57.15</v>
      </c>
      <c r="L89" s="1090">
        <f t="shared" si="7"/>
        <v>172.97399999999999</v>
      </c>
    </row>
    <row r="90" spans="2:12" ht="13.5" thickTop="1" x14ac:dyDescent="0.2">
      <c r="B90" s="973"/>
      <c r="C90" s="1081">
        <v>0.38</v>
      </c>
      <c r="D90" s="1057">
        <v>48</v>
      </c>
      <c r="E90" s="1075">
        <v>1.1299999999999999</v>
      </c>
      <c r="F90" s="1075">
        <v>6.88</v>
      </c>
      <c r="H90" s="973"/>
      <c r="I90" s="1084">
        <f t="shared" si="4"/>
        <v>9.6519999999999992</v>
      </c>
      <c r="J90" s="1026">
        <f t="shared" si="5"/>
        <v>1219.1999999999998</v>
      </c>
      <c r="K90" s="1026">
        <f t="shared" si="6"/>
        <v>28.701999999999995</v>
      </c>
      <c r="L90" s="1085">
        <f t="shared" si="7"/>
        <v>174.75199999999998</v>
      </c>
    </row>
    <row r="91" spans="2:12" x14ac:dyDescent="0.2">
      <c r="B91" s="990"/>
      <c r="C91" s="1082">
        <v>0.5</v>
      </c>
      <c r="D91" s="415">
        <v>48</v>
      </c>
      <c r="E91" s="1077">
        <v>1.5</v>
      </c>
      <c r="F91" s="1077">
        <v>7</v>
      </c>
      <c r="H91" s="1059" t="s">
        <v>315</v>
      </c>
      <c r="I91" s="1086">
        <f t="shared" si="4"/>
        <v>12.7</v>
      </c>
      <c r="J91" s="1027">
        <f t="shared" si="5"/>
        <v>1219.1999999999998</v>
      </c>
      <c r="K91" s="1027">
        <f t="shared" si="6"/>
        <v>38.099999999999994</v>
      </c>
      <c r="L91" s="1087">
        <f t="shared" si="7"/>
        <v>177.79999999999998</v>
      </c>
    </row>
    <row r="92" spans="2:12" x14ac:dyDescent="0.2">
      <c r="B92" s="990"/>
      <c r="C92" s="1082">
        <v>0.63</v>
      </c>
      <c r="D92" s="415">
        <v>48</v>
      </c>
      <c r="E92" s="1077">
        <v>1.88</v>
      </c>
      <c r="F92" s="1077">
        <v>7.19</v>
      </c>
      <c r="H92" s="1066">
        <f>48*25.4</f>
        <v>1219.1999999999998</v>
      </c>
      <c r="I92" s="1086">
        <f t="shared" si="4"/>
        <v>16.001999999999999</v>
      </c>
      <c r="J92" s="1027">
        <f t="shared" si="5"/>
        <v>1219.1999999999998</v>
      </c>
      <c r="K92" s="1027">
        <f t="shared" si="6"/>
        <v>47.751999999999995</v>
      </c>
      <c r="L92" s="1087">
        <f t="shared" si="7"/>
        <v>182.626</v>
      </c>
    </row>
    <row r="93" spans="2:12" ht="13.5" thickBot="1" x14ac:dyDescent="0.25">
      <c r="B93" s="974"/>
      <c r="C93" s="1083">
        <v>0.75</v>
      </c>
      <c r="D93" s="1079">
        <v>48</v>
      </c>
      <c r="E93" s="1080">
        <v>2.25</v>
      </c>
      <c r="F93" s="1080">
        <v>7.38</v>
      </c>
      <c r="H93" s="974"/>
      <c r="I93" s="1088">
        <f t="shared" si="4"/>
        <v>19.049999999999997</v>
      </c>
      <c r="J93" s="1089">
        <f t="shared" si="5"/>
        <v>1219.1999999999998</v>
      </c>
      <c r="K93" s="1089">
        <f t="shared" si="6"/>
        <v>57.15</v>
      </c>
      <c r="L93" s="1090">
        <f t="shared" si="7"/>
        <v>187.452</v>
      </c>
    </row>
    <row r="94" spans="2:12" ht="13.5" thickTop="1" x14ac:dyDescent="0.2">
      <c r="B94" s="973"/>
      <c r="C94" s="1081">
        <v>0.38</v>
      </c>
      <c r="D94" s="1057">
        <v>54</v>
      </c>
      <c r="E94" s="1075">
        <v>1.1299999999999999</v>
      </c>
      <c r="F94" s="1075">
        <v>7.69</v>
      </c>
      <c r="H94" s="973"/>
      <c r="I94" s="1084">
        <f t="shared" si="4"/>
        <v>9.6519999999999992</v>
      </c>
      <c r="J94" s="1026">
        <f t="shared" si="5"/>
        <v>1371.6</v>
      </c>
      <c r="K94" s="1026">
        <f t="shared" si="6"/>
        <v>28.701999999999995</v>
      </c>
      <c r="L94" s="1085">
        <f t="shared" si="7"/>
        <v>195.32599999999999</v>
      </c>
    </row>
    <row r="95" spans="2:12" x14ac:dyDescent="0.2">
      <c r="B95" s="990"/>
      <c r="C95" s="1082">
        <v>0.5</v>
      </c>
      <c r="D95" s="415">
        <v>54</v>
      </c>
      <c r="E95" s="1077">
        <v>1.5</v>
      </c>
      <c r="F95" s="1077">
        <v>7.81</v>
      </c>
      <c r="H95" s="1059" t="s">
        <v>319</v>
      </c>
      <c r="I95" s="1086">
        <f t="shared" si="4"/>
        <v>12.7</v>
      </c>
      <c r="J95" s="1027">
        <f t="shared" si="5"/>
        <v>1371.6</v>
      </c>
      <c r="K95" s="1027">
        <f t="shared" si="6"/>
        <v>38.099999999999994</v>
      </c>
      <c r="L95" s="1087">
        <f t="shared" si="7"/>
        <v>198.37399999999997</v>
      </c>
    </row>
    <row r="96" spans="2:12" x14ac:dyDescent="0.2">
      <c r="B96" s="990"/>
      <c r="C96" s="1082">
        <v>0.63</v>
      </c>
      <c r="D96" s="415">
        <v>54</v>
      </c>
      <c r="E96" s="1077">
        <v>1.88</v>
      </c>
      <c r="F96" s="1077">
        <v>8</v>
      </c>
      <c r="H96" s="1066">
        <f>54*25.4</f>
        <v>1371.6</v>
      </c>
      <c r="I96" s="1086">
        <f t="shared" si="4"/>
        <v>16.001999999999999</v>
      </c>
      <c r="J96" s="1027">
        <f t="shared" si="5"/>
        <v>1371.6</v>
      </c>
      <c r="K96" s="1027">
        <f t="shared" si="6"/>
        <v>47.751999999999995</v>
      </c>
      <c r="L96" s="1087">
        <f t="shared" si="7"/>
        <v>203.2</v>
      </c>
    </row>
    <row r="97" spans="2:12" ht="13.5" thickBot="1" x14ac:dyDescent="0.25">
      <c r="B97" s="974"/>
      <c r="C97" s="1083">
        <v>0.75</v>
      </c>
      <c r="D97" s="1079">
        <v>54</v>
      </c>
      <c r="E97" s="1080">
        <v>2.25</v>
      </c>
      <c r="F97" s="1080">
        <v>8.19</v>
      </c>
      <c r="H97" s="974"/>
      <c r="I97" s="1088">
        <f t="shared" si="4"/>
        <v>19.049999999999997</v>
      </c>
      <c r="J97" s="1089">
        <f t="shared" si="5"/>
        <v>1371.6</v>
      </c>
      <c r="K97" s="1089">
        <f t="shared" si="6"/>
        <v>57.15</v>
      </c>
      <c r="L97" s="1090">
        <f t="shared" si="7"/>
        <v>208.02599999999998</v>
      </c>
    </row>
    <row r="98" spans="2:12" ht="13.5" thickTop="1" x14ac:dyDescent="0.2">
      <c r="B98" s="973"/>
      <c r="C98" s="1081">
        <v>0.38</v>
      </c>
      <c r="D98" s="1057">
        <v>60</v>
      </c>
      <c r="E98" s="1075">
        <v>1.1299999999999999</v>
      </c>
      <c r="F98" s="1075">
        <v>8.5</v>
      </c>
      <c r="H98" s="973"/>
      <c r="I98" s="1084">
        <f t="shared" si="4"/>
        <v>9.6519999999999992</v>
      </c>
      <c r="J98" s="1026">
        <f t="shared" si="5"/>
        <v>1524</v>
      </c>
      <c r="K98" s="1026">
        <f t="shared" si="6"/>
        <v>28.701999999999995</v>
      </c>
      <c r="L98" s="1085">
        <f t="shared" si="7"/>
        <v>215.89999999999998</v>
      </c>
    </row>
    <row r="99" spans="2:12" x14ac:dyDescent="0.2">
      <c r="B99" s="990"/>
      <c r="C99" s="1082">
        <v>0.5</v>
      </c>
      <c r="D99" s="415">
        <v>60</v>
      </c>
      <c r="E99" s="1077">
        <v>1.5</v>
      </c>
      <c r="F99" s="1077">
        <v>8.6300000000000008</v>
      </c>
      <c r="H99" s="1059" t="s">
        <v>316</v>
      </c>
      <c r="I99" s="1086">
        <f t="shared" si="4"/>
        <v>12.7</v>
      </c>
      <c r="J99" s="1027">
        <f t="shared" si="5"/>
        <v>1524</v>
      </c>
      <c r="K99" s="1027">
        <f t="shared" si="6"/>
        <v>38.099999999999994</v>
      </c>
      <c r="L99" s="1087">
        <f t="shared" si="7"/>
        <v>219.202</v>
      </c>
    </row>
    <row r="100" spans="2:12" x14ac:dyDescent="0.2">
      <c r="B100" s="990"/>
      <c r="C100" s="1082">
        <v>0.63</v>
      </c>
      <c r="D100" s="415">
        <v>60</v>
      </c>
      <c r="E100" s="1077">
        <v>1.88</v>
      </c>
      <c r="F100" s="1077">
        <v>8.81</v>
      </c>
      <c r="H100" s="1066">
        <f>60*25.4</f>
        <v>1524</v>
      </c>
      <c r="I100" s="1086">
        <f t="shared" si="4"/>
        <v>16.001999999999999</v>
      </c>
      <c r="J100" s="1027">
        <f t="shared" si="5"/>
        <v>1524</v>
      </c>
      <c r="K100" s="1027">
        <f t="shared" si="6"/>
        <v>47.751999999999995</v>
      </c>
      <c r="L100" s="1087">
        <f t="shared" si="7"/>
        <v>223.774</v>
      </c>
    </row>
    <row r="101" spans="2:12" ht="13.5" thickBot="1" x14ac:dyDescent="0.25">
      <c r="B101" s="974"/>
      <c r="C101" s="1083">
        <v>0.75</v>
      </c>
      <c r="D101" s="1079">
        <v>60</v>
      </c>
      <c r="E101" s="1080">
        <v>2.25</v>
      </c>
      <c r="F101" s="1080">
        <v>8.94</v>
      </c>
      <c r="H101" s="974"/>
      <c r="I101" s="1088">
        <f t="shared" si="4"/>
        <v>19.049999999999997</v>
      </c>
      <c r="J101" s="1089">
        <f t="shared" si="5"/>
        <v>1524</v>
      </c>
      <c r="K101" s="1089">
        <f t="shared" si="6"/>
        <v>57.15</v>
      </c>
      <c r="L101" s="1090">
        <f t="shared" si="7"/>
        <v>227.07599999999996</v>
      </c>
    </row>
    <row r="102" spans="2:12" ht="14.25" thickTop="1" thickBot="1" x14ac:dyDescent="0.25">
      <c r="B102" s="1063" t="s">
        <v>298</v>
      </c>
      <c r="C102" s="1063" t="s">
        <v>317</v>
      </c>
      <c r="D102" s="1063" t="s">
        <v>299</v>
      </c>
      <c r="E102" s="1063" t="s">
        <v>300</v>
      </c>
      <c r="F102" s="1063" t="s">
        <v>301</v>
      </c>
      <c r="H102" s="1063" t="s">
        <v>298</v>
      </c>
      <c r="I102" s="1063" t="s">
        <v>318</v>
      </c>
      <c r="J102" s="1063" t="s">
        <v>307</v>
      </c>
      <c r="K102" s="1063" t="s">
        <v>308</v>
      </c>
      <c r="L102" s="1063" t="s">
        <v>309</v>
      </c>
    </row>
    <row r="103" spans="2:12" ht="13.5" thickTop="1" x14ac:dyDescent="0.2">
      <c r="B103" s="973"/>
      <c r="C103" s="1074">
        <v>0.38</v>
      </c>
      <c r="D103" s="1057">
        <v>66</v>
      </c>
      <c r="E103" s="1075">
        <v>1.1299999999999999</v>
      </c>
      <c r="F103" s="1075">
        <v>9.31</v>
      </c>
      <c r="H103" s="973"/>
      <c r="I103" s="1084">
        <f t="shared" ref="I103:I126" si="8">C103*25.4</f>
        <v>9.6519999999999992</v>
      </c>
      <c r="J103" s="1026">
        <f t="shared" ref="J103:J126" si="9">D103*25.4</f>
        <v>1676.3999999999999</v>
      </c>
      <c r="K103" s="1026">
        <f t="shared" ref="K103:K126" si="10">E103*25.4</f>
        <v>28.701999999999995</v>
      </c>
      <c r="L103" s="1085">
        <f t="shared" ref="L103:L126" si="11">F103*25.4</f>
        <v>236.47399999999999</v>
      </c>
    </row>
    <row r="104" spans="2:12" x14ac:dyDescent="0.2">
      <c r="B104" s="990"/>
      <c r="C104" s="1076">
        <v>0.5</v>
      </c>
      <c r="D104" s="415">
        <v>66</v>
      </c>
      <c r="E104" s="1077">
        <v>1.5</v>
      </c>
      <c r="F104" s="1077">
        <v>9.44</v>
      </c>
      <c r="H104" s="1059" t="s">
        <v>320</v>
      </c>
      <c r="I104" s="1086">
        <f t="shared" si="8"/>
        <v>12.7</v>
      </c>
      <c r="J104" s="1027">
        <f t="shared" si="9"/>
        <v>1676.3999999999999</v>
      </c>
      <c r="K104" s="1027">
        <f t="shared" si="10"/>
        <v>38.099999999999994</v>
      </c>
      <c r="L104" s="1087">
        <f t="shared" si="11"/>
        <v>239.77599999999998</v>
      </c>
    </row>
    <row r="105" spans="2:12" x14ac:dyDescent="0.2">
      <c r="B105" s="990"/>
      <c r="C105" s="1076">
        <v>0.63</v>
      </c>
      <c r="D105" s="415">
        <v>66</v>
      </c>
      <c r="E105" s="1077">
        <v>1.88</v>
      </c>
      <c r="F105" s="1077">
        <v>9.6300000000000008</v>
      </c>
      <c r="H105" s="1066">
        <f>66*25.4</f>
        <v>1676.3999999999999</v>
      </c>
      <c r="I105" s="1086">
        <f t="shared" si="8"/>
        <v>16.001999999999999</v>
      </c>
      <c r="J105" s="1027">
        <f t="shared" si="9"/>
        <v>1676.3999999999999</v>
      </c>
      <c r="K105" s="1027">
        <f t="shared" si="10"/>
        <v>47.751999999999995</v>
      </c>
      <c r="L105" s="1087">
        <f t="shared" si="11"/>
        <v>244.602</v>
      </c>
    </row>
    <row r="106" spans="2:12" ht="13.5" thickBot="1" x14ac:dyDescent="0.25">
      <c r="B106" s="974"/>
      <c r="C106" s="1078">
        <v>0.75</v>
      </c>
      <c r="D106" s="1079">
        <v>66</v>
      </c>
      <c r="E106" s="1080">
        <v>2.25</v>
      </c>
      <c r="F106" s="1080">
        <v>9.75</v>
      </c>
      <c r="H106" s="974"/>
      <c r="I106" s="1088">
        <f t="shared" si="8"/>
        <v>19.049999999999997</v>
      </c>
      <c r="J106" s="1089">
        <f t="shared" si="9"/>
        <v>1676.3999999999999</v>
      </c>
      <c r="K106" s="1089">
        <f t="shared" si="10"/>
        <v>57.15</v>
      </c>
      <c r="L106" s="1090">
        <f t="shared" si="11"/>
        <v>247.64999999999998</v>
      </c>
    </row>
    <row r="107" spans="2:12" ht="13.5" thickTop="1" x14ac:dyDescent="0.2">
      <c r="B107" s="973"/>
      <c r="C107" s="1081">
        <v>0.38</v>
      </c>
      <c r="D107" s="1057">
        <v>72</v>
      </c>
      <c r="E107" s="1075">
        <v>1.1299999999999999</v>
      </c>
      <c r="F107" s="1075">
        <v>10.06</v>
      </c>
      <c r="H107" s="973"/>
      <c r="I107" s="1084">
        <f t="shared" si="8"/>
        <v>9.6519999999999992</v>
      </c>
      <c r="J107" s="1026">
        <f t="shared" si="9"/>
        <v>1828.8</v>
      </c>
      <c r="K107" s="1026">
        <f t="shared" si="10"/>
        <v>28.701999999999995</v>
      </c>
      <c r="L107" s="1085">
        <f t="shared" si="11"/>
        <v>255.524</v>
      </c>
    </row>
    <row r="108" spans="2:12" x14ac:dyDescent="0.2">
      <c r="B108" s="990"/>
      <c r="C108" s="1082">
        <v>0.63</v>
      </c>
      <c r="D108" s="415">
        <v>72</v>
      </c>
      <c r="E108" s="1077">
        <v>1.88</v>
      </c>
      <c r="F108" s="1077">
        <v>10.38</v>
      </c>
      <c r="H108" s="1059" t="s">
        <v>321</v>
      </c>
      <c r="I108" s="1086">
        <f t="shared" si="8"/>
        <v>16.001999999999999</v>
      </c>
      <c r="J108" s="1027">
        <f t="shared" si="9"/>
        <v>1828.8</v>
      </c>
      <c r="K108" s="1027">
        <f t="shared" si="10"/>
        <v>47.751999999999995</v>
      </c>
      <c r="L108" s="1087">
        <f t="shared" si="11"/>
        <v>263.65199999999999</v>
      </c>
    </row>
    <row r="109" spans="2:12" x14ac:dyDescent="0.2">
      <c r="B109" s="990"/>
      <c r="C109" s="1082">
        <v>0.88</v>
      </c>
      <c r="D109" s="415">
        <v>72</v>
      </c>
      <c r="E109" s="1077">
        <v>2.63</v>
      </c>
      <c r="F109" s="1077">
        <v>10.69</v>
      </c>
      <c r="H109" s="1066">
        <f>72*25.4</f>
        <v>1828.8</v>
      </c>
      <c r="I109" s="1086">
        <f t="shared" si="8"/>
        <v>22.352</v>
      </c>
      <c r="J109" s="1027">
        <f t="shared" si="9"/>
        <v>1828.8</v>
      </c>
      <c r="K109" s="1027">
        <f t="shared" si="10"/>
        <v>66.801999999999992</v>
      </c>
      <c r="L109" s="1087">
        <f t="shared" si="11"/>
        <v>271.52599999999995</v>
      </c>
    </row>
    <row r="110" spans="2:12" ht="13.5" thickBot="1" x14ac:dyDescent="0.25">
      <c r="B110" s="974"/>
      <c r="C110" s="1083">
        <v>1.1299999999999999</v>
      </c>
      <c r="D110" s="1079">
        <v>72</v>
      </c>
      <c r="E110" s="1080">
        <v>3.38</v>
      </c>
      <c r="F110" s="1080">
        <v>11</v>
      </c>
      <c r="H110" s="974"/>
      <c r="I110" s="1088">
        <f t="shared" si="8"/>
        <v>28.701999999999995</v>
      </c>
      <c r="J110" s="1089">
        <f t="shared" si="9"/>
        <v>1828.8</v>
      </c>
      <c r="K110" s="1089">
        <f t="shared" si="10"/>
        <v>85.85199999999999</v>
      </c>
      <c r="L110" s="1090">
        <f t="shared" si="11"/>
        <v>279.39999999999998</v>
      </c>
    </row>
    <row r="111" spans="2:12" ht="13.5" thickTop="1" x14ac:dyDescent="0.2">
      <c r="B111" s="973"/>
      <c r="C111" s="1081">
        <v>0.38</v>
      </c>
      <c r="D111" s="1057">
        <v>78</v>
      </c>
      <c r="E111" s="1075">
        <v>1.1299999999999999</v>
      </c>
      <c r="F111" s="1075">
        <v>10.88</v>
      </c>
      <c r="H111" s="973"/>
      <c r="I111" s="1084">
        <f t="shared" si="8"/>
        <v>9.6519999999999992</v>
      </c>
      <c r="J111" s="1026">
        <f t="shared" si="9"/>
        <v>1981.1999999999998</v>
      </c>
      <c r="K111" s="1026">
        <f t="shared" si="10"/>
        <v>28.701999999999995</v>
      </c>
      <c r="L111" s="1085">
        <f t="shared" si="11"/>
        <v>276.35200000000003</v>
      </c>
    </row>
    <row r="112" spans="2:12" x14ac:dyDescent="0.2">
      <c r="B112" s="990"/>
      <c r="C112" s="1082">
        <v>0.63</v>
      </c>
      <c r="D112" s="415">
        <v>78</v>
      </c>
      <c r="E112" s="1077">
        <v>1.88</v>
      </c>
      <c r="F112" s="1077">
        <v>11.19</v>
      </c>
      <c r="H112" s="1059" t="s">
        <v>322</v>
      </c>
      <c r="I112" s="1086">
        <f t="shared" si="8"/>
        <v>16.001999999999999</v>
      </c>
      <c r="J112" s="1027">
        <f t="shared" si="9"/>
        <v>1981.1999999999998</v>
      </c>
      <c r="K112" s="1027">
        <f t="shared" si="10"/>
        <v>47.751999999999995</v>
      </c>
      <c r="L112" s="1087">
        <f t="shared" si="11"/>
        <v>284.226</v>
      </c>
    </row>
    <row r="113" spans="2:12" x14ac:dyDescent="0.2">
      <c r="B113" s="990"/>
      <c r="C113" s="1082">
        <v>0.88</v>
      </c>
      <c r="D113" s="415">
        <v>78</v>
      </c>
      <c r="E113" s="1077">
        <v>2.63</v>
      </c>
      <c r="F113" s="1077">
        <v>11.5</v>
      </c>
      <c r="H113" s="1066">
        <f>78*25.4</f>
        <v>1981.1999999999998</v>
      </c>
      <c r="I113" s="1086">
        <f t="shared" si="8"/>
        <v>22.352</v>
      </c>
      <c r="J113" s="1027">
        <f t="shared" si="9"/>
        <v>1981.1999999999998</v>
      </c>
      <c r="K113" s="1027">
        <f t="shared" si="10"/>
        <v>66.801999999999992</v>
      </c>
      <c r="L113" s="1087">
        <f t="shared" si="11"/>
        <v>292.09999999999997</v>
      </c>
    </row>
    <row r="114" spans="2:12" ht="13.5" thickBot="1" x14ac:dyDescent="0.25">
      <c r="B114" s="974"/>
      <c r="C114" s="1083">
        <v>1.1299999999999999</v>
      </c>
      <c r="D114" s="1079">
        <v>78</v>
      </c>
      <c r="E114" s="1080">
        <v>3.38</v>
      </c>
      <c r="F114" s="1080">
        <v>11.81</v>
      </c>
      <c r="H114" s="974"/>
      <c r="I114" s="1088">
        <f t="shared" si="8"/>
        <v>28.701999999999995</v>
      </c>
      <c r="J114" s="1089">
        <f t="shared" si="9"/>
        <v>1981.1999999999998</v>
      </c>
      <c r="K114" s="1089">
        <f t="shared" si="10"/>
        <v>85.85199999999999</v>
      </c>
      <c r="L114" s="1090">
        <f t="shared" si="11"/>
        <v>299.97399999999999</v>
      </c>
    </row>
    <row r="115" spans="2:12" ht="13.5" thickTop="1" x14ac:dyDescent="0.2">
      <c r="B115" s="973"/>
      <c r="C115" s="1081">
        <v>0.38</v>
      </c>
      <c r="D115" s="1057">
        <v>84</v>
      </c>
      <c r="E115" s="1075">
        <v>1.1299999999999999</v>
      </c>
      <c r="F115" s="1075">
        <v>11.69</v>
      </c>
      <c r="H115" s="973"/>
      <c r="I115" s="1084">
        <f t="shared" si="8"/>
        <v>9.6519999999999992</v>
      </c>
      <c r="J115" s="1026">
        <f t="shared" si="9"/>
        <v>2133.6</v>
      </c>
      <c r="K115" s="1026">
        <f t="shared" si="10"/>
        <v>28.701999999999995</v>
      </c>
      <c r="L115" s="1085">
        <f t="shared" si="11"/>
        <v>296.92599999999999</v>
      </c>
    </row>
    <row r="116" spans="2:12" x14ac:dyDescent="0.2">
      <c r="B116" s="990"/>
      <c r="C116" s="1082">
        <v>0.63</v>
      </c>
      <c r="D116" s="415">
        <v>84</v>
      </c>
      <c r="E116" s="1077">
        <v>1.88</v>
      </c>
      <c r="F116" s="1077">
        <v>11.88</v>
      </c>
      <c r="H116" s="1059" t="s">
        <v>323</v>
      </c>
      <c r="I116" s="1086">
        <f t="shared" si="8"/>
        <v>16.001999999999999</v>
      </c>
      <c r="J116" s="1027">
        <f t="shared" si="9"/>
        <v>2133.6</v>
      </c>
      <c r="K116" s="1027">
        <f t="shared" si="10"/>
        <v>47.751999999999995</v>
      </c>
      <c r="L116" s="1087">
        <f t="shared" si="11"/>
        <v>301.75200000000001</v>
      </c>
    </row>
    <row r="117" spans="2:12" x14ac:dyDescent="0.2">
      <c r="B117" s="990"/>
      <c r="C117" s="1082">
        <v>0.88</v>
      </c>
      <c r="D117" s="415">
        <v>84</v>
      </c>
      <c r="E117" s="1077">
        <v>2.63</v>
      </c>
      <c r="F117" s="1077">
        <v>12.31</v>
      </c>
      <c r="H117" s="1066">
        <f>84*25.4</f>
        <v>2133.6</v>
      </c>
      <c r="I117" s="1086">
        <f t="shared" si="8"/>
        <v>22.352</v>
      </c>
      <c r="J117" s="1027">
        <f t="shared" si="9"/>
        <v>2133.6</v>
      </c>
      <c r="K117" s="1027">
        <f t="shared" si="10"/>
        <v>66.801999999999992</v>
      </c>
      <c r="L117" s="1087">
        <f t="shared" si="11"/>
        <v>312.67399999999998</v>
      </c>
    </row>
    <row r="118" spans="2:12" ht="13.5" thickBot="1" x14ac:dyDescent="0.25">
      <c r="B118" s="974"/>
      <c r="C118" s="1083">
        <v>1.1299999999999999</v>
      </c>
      <c r="D118" s="1079">
        <v>84</v>
      </c>
      <c r="E118" s="1080">
        <v>3.38</v>
      </c>
      <c r="F118" s="1080">
        <v>12.63</v>
      </c>
      <c r="H118" s="974"/>
      <c r="I118" s="1088">
        <f t="shared" si="8"/>
        <v>28.701999999999995</v>
      </c>
      <c r="J118" s="1089">
        <f t="shared" si="9"/>
        <v>2133.6</v>
      </c>
      <c r="K118" s="1089">
        <f t="shared" si="10"/>
        <v>85.85199999999999</v>
      </c>
      <c r="L118" s="1090">
        <f t="shared" si="11"/>
        <v>320.80200000000002</v>
      </c>
    </row>
    <row r="119" spans="2:12" ht="13.5" thickTop="1" x14ac:dyDescent="0.2">
      <c r="B119" s="973"/>
      <c r="C119" s="1081">
        <v>0.38</v>
      </c>
      <c r="D119" s="1057">
        <v>90</v>
      </c>
      <c r="E119" s="1075">
        <v>1.1299999999999999</v>
      </c>
      <c r="F119" s="1075">
        <v>12.5</v>
      </c>
      <c r="H119" s="973"/>
      <c r="I119" s="1084">
        <f t="shared" si="8"/>
        <v>9.6519999999999992</v>
      </c>
      <c r="J119" s="1026">
        <f t="shared" si="9"/>
        <v>2286</v>
      </c>
      <c r="K119" s="1026">
        <f t="shared" si="10"/>
        <v>28.701999999999995</v>
      </c>
      <c r="L119" s="1085">
        <f t="shared" si="11"/>
        <v>317.5</v>
      </c>
    </row>
    <row r="120" spans="2:12" x14ac:dyDescent="0.2">
      <c r="B120" s="990"/>
      <c r="C120" s="1082">
        <v>0.63</v>
      </c>
      <c r="D120" s="415">
        <v>84</v>
      </c>
      <c r="E120" s="1077">
        <v>1.88</v>
      </c>
      <c r="F120" s="1077">
        <v>13.75</v>
      </c>
      <c r="H120" s="1059" t="s">
        <v>324</v>
      </c>
      <c r="I120" s="1086">
        <f t="shared" si="8"/>
        <v>16.001999999999999</v>
      </c>
      <c r="J120" s="1027">
        <f t="shared" si="9"/>
        <v>2133.6</v>
      </c>
      <c r="K120" s="1027">
        <f t="shared" si="10"/>
        <v>47.751999999999995</v>
      </c>
      <c r="L120" s="1087">
        <f t="shared" si="11"/>
        <v>349.25</v>
      </c>
    </row>
    <row r="121" spans="2:12" x14ac:dyDescent="0.2">
      <c r="B121" s="990"/>
      <c r="C121" s="1082">
        <v>0.88</v>
      </c>
      <c r="D121" s="415">
        <v>84</v>
      </c>
      <c r="E121" s="1077">
        <v>2.63</v>
      </c>
      <c r="F121" s="1077">
        <v>14</v>
      </c>
      <c r="H121" s="1066">
        <f>90*25.4</f>
        <v>2286</v>
      </c>
      <c r="I121" s="1086">
        <f t="shared" si="8"/>
        <v>22.352</v>
      </c>
      <c r="J121" s="1027">
        <f t="shared" si="9"/>
        <v>2133.6</v>
      </c>
      <c r="K121" s="1027">
        <f t="shared" si="10"/>
        <v>66.801999999999992</v>
      </c>
      <c r="L121" s="1087">
        <f t="shared" si="11"/>
        <v>355.59999999999997</v>
      </c>
    </row>
    <row r="122" spans="2:12" ht="13.5" thickBot="1" x14ac:dyDescent="0.25">
      <c r="B122" s="974"/>
      <c r="C122" s="1083">
        <v>1.1299999999999999</v>
      </c>
      <c r="D122" s="1079">
        <v>84</v>
      </c>
      <c r="E122" s="1080">
        <v>3.38</v>
      </c>
      <c r="F122" s="1080">
        <v>14.31</v>
      </c>
      <c r="H122" s="974"/>
      <c r="I122" s="1088">
        <f t="shared" si="8"/>
        <v>28.701999999999995</v>
      </c>
      <c r="J122" s="1089">
        <f t="shared" si="9"/>
        <v>2133.6</v>
      </c>
      <c r="K122" s="1089">
        <f t="shared" si="10"/>
        <v>85.85199999999999</v>
      </c>
      <c r="L122" s="1090">
        <f t="shared" si="11"/>
        <v>363.47399999999999</v>
      </c>
    </row>
    <row r="123" spans="2:12" ht="13.5" thickTop="1" x14ac:dyDescent="0.2">
      <c r="B123" s="973"/>
      <c r="C123" s="1081">
        <v>0.5</v>
      </c>
      <c r="D123" s="1057">
        <v>96</v>
      </c>
      <c r="E123" s="1075">
        <v>1.5</v>
      </c>
      <c r="F123" s="1075">
        <v>13.44</v>
      </c>
      <c r="H123" s="973"/>
      <c r="I123" s="1084">
        <f t="shared" si="8"/>
        <v>12.7</v>
      </c>
      <c r="J123" s="1026">
        <f t="shared" si="9"/>
        <v>2438.3999999999996</v>
      </c>
      <c r="K123" s="1026">
        <f t="shared" si="10"/>
        <v>38.099999999999994</v>
      </c>
      <c r="L123" s="1085">
        <f t="shared" si="11"/>
        <v>341.37599999999998</v>
      </c>
    </row>
    <row r="124" spans="2:12" x14ac:dyDescent="0.2">
      <c r="B124" s="990"/>
      <c r="C124" s="1082">
        <v>0.75</v>
      </c>
      <c r="D124" s="415">
        <v>96</v>
      </c>
      <c r="E124" s="1077">
        <v>2.25</v>
      </c>
      <c r="F124" s="1077">
        <v>13.75</v>
      </c>
      <c r="H124" s="1059" t="s">
        <v>325</v>
      </c>
      <c r="I124" s="1086">
        <f t="shared" si="8"/>
        <v>19.049999999999997</v>
      </c>
      <c r="J124" s="1027">
        <f t="shared" si="9"/>
        <v>2438.3999999999996</v>
      </c>
      <c r="K124" s="1027">
        <f t="shared" si="10"/>
        <v>57.15</v>
      </c>
      <c r="L124" s="1087">
        <f t="shared" si="11"/>
        <v>349.25</v>
      </c>
    </row>
    <row r="125" spans="2:12" x14ac:dyDescent="0.2">
      <c r="B125" s="990"/>
      <c r="C125" s="1082">
        <v>1</v>
      </c>
      <c r="D125" s="415">
        <v>96</v>
      </c>
      <c r="E125" s="1077">
        <v>3</v>
      </c>
      <c r="F125" s="1077">
        <v>14.06</v>
      </c>
      <c r="H125" s="1066">
        <f>96*25.4</f>
        <v>2438.3999999999996</v>
      </c>
      <c r="I125" s="1086">
        <f t="shared" si="8"/>
        <v>25.4</v>
      </c>
      <c r="J125" s="1027">
        <f t="shared" si="9"/>
        <v>2438.3999999999996</v>
      </c>
      <c r="K125" s="1027">
        <f t="shared" si="10"/>
        <v>76.199999999999989</v>
      </c>
      <c r="L125" s="1087">
        <f t="shared" si="11"/>
        <v>357.12399999999997</v>
      </c>
    </row>
    <row r="126" spans="2:12" ht="13.5" thickBot="1" x14ac:dyDescent="0.25">
      <c r="B126" s="974"/>
      <c r="C126" s="1083">
        <v>1.25</v>
      </c>
      <c r="D126" s="1079">
        <v>96</v>
      </c>
      <c r="E126" s="1080">
        <v>3.75</v>
      </c>
      <c r="F126" s="1080">
        <v>14.38</v>
      </c>
      <c r="H126" s="974"/>
      <c r="I126" s="1088">
        <f t="shared" si="8"/>
        <v>31.75</v>
      </c>
      <c r="J126" s="1089">
        <f t="shared" si="9"/>
        <v>2438.3999999999996</v>
      </c>
      <c r="K126" s="1089">
        <f t="shared" si="10"/>
        <v>95.25</v>
      </c>
      <c r="L126" s="1090">
        <f t="shared" si="11"/>
        <v>365.25200000000001</v>
      </c>
    </row>
    <row r="127" spans="2:12" ht="14.25" thickTop="1" thickBot="1" x14ac:dyDescent="0.25">
      <c r="B127" s="1063" t="s">
        <v>298</v>
      </c>
      <c r="C127" s="1063" t="s">
        <v>317</v>
      </c>
      <c r="D127" s="1063" t="s">
        <v>299</v>
      </c>
      <c r="E127" s="1063" t="s">
        <v>300</v>
      </c>
      <c r="F127" s="1063" t="s">
        <v>301</v>
      </c>
      <c r="H127" s="1063" t="s">
        <v>298</v>
      </c>
      <c r="I127" s="1063" t="s">
        <v>318</v>
      </c>
      <c r="J127" s="1063" t="s">
        <v>307</v>
      </c>
      <c r="K127" s="1063" t="s">
        <v>308</v>
      </c>
      <c r="L127" s="1063" t="s">
        <v>309</v>
      </c>
    </row>
    <row r="128" spans="2:12" ht="13.5" thickTop="1" x14ac:dyDescent="0.2">
      <c r="B128" s="973"/>
      <c r="C128" s="1074">
        <v>0.5</v>
      </c>
      <c r="D128" s="1057">
        <v>102</v>
      </c>
      <c r="E128" s="1075">
        <v>1.5</v>
      </c>
      <c r="F128" s="1075">
        <v>14.25</v>
      </c>
      <c r="H128" s="973"/>
      <c r="I128" s="1084">
        <f t="shared" ref="I128:I151" si="12">C128*25.4</f>
        <v>12.7</v>
      </c>
      <c r="J128" s="1026">
        <f t="shared" ref="J128:J151" si="13">D128*25.4</f>
        <v>2590.7999999999997</v>
      </c>
      <c r="K128" s="1026">
        <f t="shared" ref="K128:K151" si="14">E128*25.4</f>
        <v>38.099999999999994</v>
      </c>
      <c r="L128" s="1085">
        <f t="shared" ref="L128:L151" si="15">F128*25.4</f>
        <v>361.95</v>
      </c>
    </row>
    <row r="129" spans="2:12" x14ac:dyDescent="0.2">
      <c r="B129" s="990"/>
      <c r="C129" s="1076">
        <v>0.75</v>
      </c>
      <c r="D129" s="415">
        <v>96</v>
      </c>
      <c r="E129" s="1077">
        <v>2.25</v>
      </c>
      <c r="F129" s="1077">
        <v>15.5</v>
      </c>
      <c r="H129" s="1059" t="s">
        <v>328</v>
      </c>
      <c r="I129" s="1086">
        <f t="shared" si="12"/>
        <v>19.049999999999997</v>
      </c>
      <c r="J129" s="1027">
        <f t="shared" si="13"/>
        <v>2438.3999999999996</v>
      </c>
      <c r="K129" s="1027">
        <f t="shared" si="14"/>
        <v>57.15</v>
      </c>
      <c r="L129" s="1087">
        <f t="shared" si="15"/>
        <v>393.7</v>
      </c>
    </row>
    <row r="130" spans="2:12" x14ac:dyDescent="0.2">
      <c r="B130" s="990"/>
      <c r="C130" s="1076">
        <v>1</v>
      </c>
      <c r="D130" s="415">
        <v>96</v>
      </c>
      <c r="E130" s="1077">
        <v>3</v>
      </c>
      <c r="F130" s="1077">
        <v>15.75</v>
      </c>
      <c r="H130" s="1066">
        <f>102*25.4</f>
        <v>2590.7999999999997</v>
      </c>
      <c r="I130" s="1086">
        <f t="shared" si="12"/>
        <v>25.4</v>
      </c>
      <c r="J130" s="1027">
        <f t="shared" si="13"/>
        <v>2438.3999999999996</v>
      </c>
      <c r="K130" s="1027">
        <f t="shared" si="14"/>
        <v>76.199999999999989</v>
      </c>
      <c r="L130" s="1087">
        <f t="shared" si="15"/>
        <v>400.04999999999995</v>
      </c>
    </row>
    <row r="131" spans="2:12" ht="13.5" thickBot="1" x14ac:dyDescent="0.25">
      <c r="B131" s="974"/>
      <c r="C131" s="1078">
        <v>1.25</v>
      </c>
      <c r="D131" s="1079">
        <v>96</v>
      </c>
      <c r="E131" s="1080">
        <v>3.75</v>
      </c>
      <c r="F131" s="1080">
        <v>16.059999999999999</v>
      </c>
      <c r="H131" s="974"/>
      <c r="I131" s="1088">
        <f t="shared" si="12"/>
        <v>31.75</v>
      </c>
      <c r="J131" s="1089">
        <f t="shared" si="13"/>
        <v>2438.3999999999996</v>
      </c>
      <c r="K131" s="1089">
        <f t="shared" si="14"/>
        <v>95.25</v>
      </c>
      <c r="L131" s="1090">
        <f t="shared" si="15"/>
        <v>407.92399999999992</v>
      </c>
    </row>
    <row r="132" spans="2:12" ht="13.5" thickTop="1" x14ac:dyDescent="0.2">
      <c r="B132" s="973"/>
      <c r="C132" s="1081">
        <v>0.5</v>
      </c>
      <c r="D132" s="1057">
        <v>108</v>
      </c>
      <c r="E132" s="1075">
        <v>1.5</v>
      </c>
      <c r="F132" s="1075">
        <v>15.06</v>
      </c>
      <c r="H132" s="973"/>
      <c r="I132" s="1084">
        <f t="shared" si="12"/>
        <v>12.7</v>
      </c>
      <c r="J132" s="1026">
        <f t="shared" si="13"/>
        <v>2743.2</v>
      </c>
      <c r="K132" s="1026">
        <f t="shared" si="14"/>
        <v>38.099999999999994</v>
      </c>
      <c r="L132" s="1085">
        <f t="shared" si="15"/>
        <v>382.524</v>
      </c>
    </row>
    <row r="133" spans="2:12" x14ac:dyDescent="0.2">
      <c r="B133" s="990"/>
      <c r="C133" s="1082">
        <v>0.75</v>
      </c>
      <c r="D133" s="415">
        <v>108</v>
      </c>
      <c r="E133" s="1077">
        <v>2.25</v>
      </c>
      <c r="F133" s="1077">
        <v>15.38</v>
      </c>
      <c r="H133" s="1059" t="s">
        <v>329</v>
      </c>
      <c r="I133" s="1086">
        <f t="shared" si="12"/>
        <v>19.049999999999997</v>
      </c>
      <c r="J133" s="1027">
        <f t="shared" si="13"/>
        <v>2743.2</v>
      </c>
      <c r="K133" s="1027">
        <f t="shared" si="14"/>
        <v>57.15</v>
      </c>
      <c r="L133" s="1087">
        <f t="shared" si="15"/>
        <v>390.65199999999999</v>
      </c>
    </row>
    <row r="134" spans="2:12" x14ac:dyDescent="0.2">
      <c r="B134" s="990"/>
      <c r="C134" s="1082">
        <v>1</v>
      </c>
      <c r="D134" s="415">
        <v>102</v>
      </c>
      <c r="E134" s="1077">
        <v>3</v>
      </c>
      <c r="F134" s="1077">
        <v>16.559999999999999</v>
      </c>
      <c r="H134" s="1066">
        <f>108*25.4</f>
        <v>2743.2</v>
      </c>
      <c r="I134" s="1086">
        <f t="shared" si="12"/>
        <v>25.4</v>
      </c>
      <c r="J134" s="1027">
        <f t="shared" si="13"/>
        <v>2590.7999999999997</v>
      </c>
      <c r="K134" s="1027">
        <f t="shared" si="14"/>
        <v>76.199999999999989</v>
      </c>
      <c r="L134" s="1087">
        <f t="shared" si="15"/>
        <v>420.62399999999997</v>
      </c>
    </row>
    <row r="135" spans="2:12" ht="13.5" thickBot="1" x14ac:dyDescent="0.25">
      <c r="B135" s="974"/>
      <c r="C135" s="1083">
        <v>1.25</v>
      </c>
      <c r="D135" s="1079">
        <v>102</v>
      </c>
      <c r="E135" s="1080">
        <v>3.75</v>
      </c>
      <c r="F135" s="1080">
        <v>16.809999999999999</v>
      </c>
      <c r="H135" s="974"/>
      <c r="I135" s="1088">
        <f t="shared" si="12"/>
        <v>31.75</v>
      </c>
      <c r="J135" s="1089">
        <f t="shared" si="13"/>
        <v>2590.7999999999997</v>
      </c>
      <c r="K135" s="1089">
        <f t="shared" si="14"/>
        <v>95.25</v>
      </c>
      <c r="L135" s="1090">
        <f t="shared" si="15"/>
        <v>426.97399999999993</v>
      </c>
    </row>
    <row r="136" spans="2:12" ht="13.5" thickTop="1" x14ac:dyDescent="0.2">
      <c r="B136" s="973"/>
      <c r="C136" s="1081">
        <v>0.5</v>
      </c>
      <c r="D136" s="1057">
        <v>114</v>
      </c>
      <c r="E136" s="1075">
        <v>1.5</v>
      </c>
      <c r="F136" s="1075">
        <v>15.88</v>
      </c>
      <c r="H136" s="973"/>
      <c r="I136" s="1084">
        <f t="shared" si="12"/>
        <v>12.7</v>
      </c>
      <c r="J136" s="1026">
        <f t="shared" si="13"/>
        <v>2895.6</v>
      </c>
      <c r="K136" s="1026">
        <f t="shared" si="14"/>
        <v>38.099999999999994</v>
      </c>
      <c r="L136" s="1085">
        <f t="shared" si="15"/>
        <v>403.35199999999998</v>
      </c>
    </row>
    <row r="137" spans="2:12" x14ac:dyDescent="0.2">
      <c r="B137" s="990"/>
      <c r="C137" s="1082">
        <v>0.75</v>
      </c>
      <c r="D137" s="415">
        <v>114</v>
      </c>
      <c r="E137" s="1077">
        <v>2.25</v>
      </c>
      <c r="F137" s="1077">
        <v>16.190000000000001</v>
      </c>
      <c r="H137" s="1059" t="s">
        <v>331</v>
      </c>
      <c r="I137" s="1086">
        <f t="shared" si="12"/>
        <v>19.049999999999997</v>
      </c>
      <c r="J137" s="1027">
        <f t="shared" si="13"/>
        <v>2895.6</v>
      </c>
      <c r="K137" s="1027">
        <f t="shared" si="14"/>
        <v>57.15</v>
      </c>
      <c r="L137" s="1087">
        <f t="shared" si="15"/>
        <v>411.226</v>
      </c>
    </row>
    <row r="138" spans="2:12" x14ac:dyDescent="0.2">
      <c r="B138" s="990"/>
      <c r="C138" s="1082">
        <v>1</v>
      </c>
      <c r="D138" s="415">
        <v>108</v>
      </c>
      <c r="E138" s="1077">
        <v>3</v>
      </c>
      <c r="F138" s="1077">
        <v>17.38</v>
      </c>
      <c r="H138" s="1066">
        <f>114*25.4</f>
        <v>2895.6</v>
      </c>
      <c r="I138" s="1086">
        <f t="shared" si="12"/>
        <v>25.4</v>
      </c>
      <c r="J138" s="1027">
        <f t="shared" si="13"/>
        <v>2743.2</v>
      </c>
      <c r="K138" s="1027">
        <f t="shared" si="14"/>
        <v>76.199999999999989</v>
      </c>
      <c r="L138" s="1087">
        <f t="shared" si="15"/>
        <v>441.45199999999994</v>
      </c>
    </row>
    <row r="139" spans="2:12" ht="13.5" thickBot="1" x14ac:dyDescent="0.25">
      <c r="B139" s="974"/>
      <c r="C139" s="1083">
        <v>1.25</v>
      </c>
      <c r="D139" s="1079">
        <v>108</v>
      </c>
      <c r="E139" s="1080">
        <v>3.75</v>
      </c>
      <c r="F139" s="1080">
        <v>17.63</v>
      </c>
      <c r="H139" s="974"/>
      <c r="I139" s="1088">
        <f t="shared" si="12"/>
        <v>31.75</v>
      </c>
      <c r="J139" s="1089">
        <f t="shared" si="13"/>
        <v>2743.2</v>
      </c>
      <c r="K139" s="1089">
        <f t="shared" si="14"/>
        <v>95.25</v>
      </c>
      <c r="L139" s="1090">
        <f t="shared" si="15"/>
        <v>447.80199999999996</v>
      </c>
    </row>
    <row r="140" spans="2:12" ht="13.5" thickTop="1" x14ac:dyDescent="0.2">
      <c r="B140" s="973"/>
      <c r="C140" s="1081">
        <v>0.5</v>
      </c>
      <c r="D140" s="1057">
        <v>120</v>
      </c>
      <c r="E140" s="1075">
        <v>1.5</v>
      </c>
      <c r="F140" s="1075">
        <v>16.690000000000001</v>
      </c>
      <c r="H140" s="973"/>
      <c r="I140" s="1084">
        <f t="shared" si="12"/>
        <v>12.7</v>
      </c>
      <c r="J140" s="1026">
        <f t="shared" si="13"/>
        <v>3048</v>
      </c>
      <c r="K140" s="1026">
        <f t="shared" si="14"/>
        <v>38.099999999999994</v>
      </c>
      <c r="L140" s="1085">
        <f t="shared" si="15"/>
        <v>423.92599999999999</v>
      </c>
    </row>
    <row r="141" spans="2:12" x14ac:dyDescent="0.2">
      <c r="B141" s="990"/>
      <c r="C141" s="1082">
        <v>0.88</v>
      </c>
      <c r="D141" s="415">
        <v>120</v>
      </c>
      <c r="E141" s="1077">
        <v>2.63</v>
      </c>
      <c r="F141" s="1077">
        <v>17.13</v>
      </c>
      <c r="H141" s="1059" t="s">
        <v>330</v>
      </c>
      <c r="I141" s="1086">
        <f t="shared" si="12"/>
        <v>22.352</v>
      </c>
      <c r="J141" s="1027">
        <f t="shared" si="13"/>
        <v>3048</v>
      </c>
      <c r="K141" s="1027">
        <f t="shared" si="14"/>
        <v>66.801999999999992</v>
      </c>
      <c r="L141" s="1087">
        <f t="shared" si="15"/>
        <v>435.10199999999998</v>
      </c>
    </row>
    <row r="142" spans="2:12" x14ac:dyDescent="0.2">
      <c r="B142" s="990"/>
      <c r="C142" s="1082">
        <v>1.25</v>
      </c>
      <c r="D142" s="415">
        <v>120</v>
      </c>
      <c r="E142" s="1077">
        <v>3.75</v>
      </c>
      <c r="F142" s="1077">
        <v>17.59</v>
      </c>
      <c r="H142" s="1066">
        <f>120*25.4</f>
        <v>3048</v>
      </c>
      <c r="I142" s="1086">
        <f t="shared" si="12"/>
        <v>31.75</v>
      </c>
      <c r="J142" s="1027">
        <f t="shared" si="13"/>
        <v>3048</v>
      </c>
      <c r="K142" s="1027">
        <f t="shared" si="14"/>
        <v>95.25</v>
      </c>
      <c r="L142" s="1087">
        <f t="shared" si="15"/>
        <v>446.78599999999994</v>
      </c>
    </row>
    <row r="143" spans="2:12" ht="13.5" thickBot="1" x14ac:dyDescent="0.25">
      <c r="B143" s="974"/>
      <c r="C143" s="1083">
        <v>1.63</v>
      </c>
      <c r="D143" s="1079">
        <v>120</v>
      </c>
      <c r="E143" s="1080">
        <v>4.88</v>
      </c>
      <c r="F143" s="1080">
        <v>18.059999999999999</v>
      </c>
      <c r="H143" s="974"/>
      <c r="I143" s="1088">
        <f t="shared" si="12"/>
        <v>41.401999999999994</v>
      </c>
      <c r="J143" s="1089">
        <f t="shared" si="13"/>
        <v>3048</v>
      </c>
      <c r="K143" s="1089">
        <f t="shared" si="14"/>
        <v>123.95199999999998</v>
      </c>
      <c r="L143" s="1090">
        <f t="shared" si="15"/>
        <v>458.72399999999993</v>
      </c>
    </row>
    <row r="144" spans="2:12" ht="13.5" thickTop="1" x14ac:dyDescent="0.2">
      <c r="B144" s="973"/>
      <c r="C144" s="1081">
        <v>0.5</v>
      </c>
      <c r="D144" s="1057">
        <v>126</v>
      </c>
      <c r="E144" s="1075">
        <v>1.5</v>
      </c>
      <c r="F144" s="1075">
        <v>17.5</v>
      </c>
      <c r="H144" s="973"/>
      <c r="I144" s="1084">
        <f t="shared" si="12"/>
        <v>12.7</v>
      </c>
      <c r="J144" s="1026">
        <f t="shared" si="13"/>
        <v>3200.3999999999996</v>
      </c>
      <c r="K144" s="1026">
        <f t="shared" si="14"/>
        <v>38.099999999999994</v>
      </c>
      <c r="L144" s="1085">
        <f t="shared" si="15"/>
        <v>444.5</v>
      </c>
    </row>
    <row r="145" spans="2:12" x14ac:dyDescent="0.2">
      <c r="B145" s="990"/>
      <c r="C145" s="1082">
        <v>0.88</v>
      </c>
      <c r="D145" s="415">
        <v>120</v>
      </c>
      <c r="E145" s="1077">
        <v>2.63</v>
      </c>
      <c r="F145" s="1077">
        <v>18.809999999999999</v>
      </c>
      <c r="H145" s="1059" t="s">
        <v>332</v>
      </c>
      <c r="I145" s="1086">
        <f t="shared" si="12"/>
        <v>22.352</v>
      </c>
      <c r="J145" s="1027">
        <f t="shared" si="13"/>
        <v>3048</v>
      </c>
      <c r="K145" s="1027">
        <f t="shared" si="14"/>
        <v>66.801999999999992</v>
      </c>
      <c r="L145" s="1087">
        <f t="shared" si="15"/>
        <v>477.77399999999994</v>
      </c>
    </row>
    <row r="146" spans="2:12" x14ac:dyDescent="0.2">
      <c r="B146" s="990"/>
      <c r="C146" s="1082">
        <v>1.25</v>
      </c>
      <c r="D146" s="415">
        <v>120</v>
      </c>
      <c r="E146" s="1077">
        <v>3.75</v>
      </c>
      <c r="F146" s="1077">
        <v>19.25</v>
      </c>
      <c r="H146" s="1066">
        <f>126*25.4</f>
        <v>3200.3999999999996</v>
      </c>
      <c r="I146" s="1086">
        <f t="shared" si="12"/>
        <v>31.75</v>
      </c>
      <c r="J146" s="1027">
        <f t="shared" si="13"/>
        <v>3048</v>
      </c>
      <c r="K146" s="1027">
        <f t="shared" si="14"/>
        <v>95.25</v>
      </c>
      <c r="L146" s="1087">
        <f t="shared" si="15"/>
        <v>488.95</v>
      </c>
    </row>
    <row r="147" spans="2:12" ht="13.5" thickBot="1" x14ac:dyDescent="0.25">
      <c r="B147" s="974"/>
      <c r="C147" s="1083">
        <v>1.63</v>
      </c>
      <c r="D147" s="1079">
        <v>120</v>
      </c>
      <c r="E147" s="1080">
        <v>4.88</v>
      </c>
      <c r="F147" s="1080">
        <v>19.690000000000001</v>
      </c>
      <c r="H147" s="974"/>
      <c r="I147" s="1088">
        <f t="shared" si="12"/>
        <v>41.401999999999994</v>
      </c>
      <c r="J147" s="1089">
        <f t="shared" si="13"/>
        <v>3048</v>
      </c>
      <c r="K147" s="1089">
        <f t="shared" si="14"/>
        <v>123.95199999999998</v>
      </c>
      <c r="L147" s="1090">
        <f t="shared" si="15"/>
        <v>500.12599999999998</v>
      </c>
    </row>
    <row r="148" spans="2:12" ht="13.5" thickTop="1" x14ac:dyDescent="0.2">
      <c r="B148" s="973"/>
      <c r="C148" s="1081">
        <v>0.63</v>
      </c>
      <c r="D148" s="1057">
        <v>132</v>
      </c>
      <c r="E148" s="1075">
        <v>1.88</v>
      </c>
      <c r="F148" s="1075">
        <v>18.440000000000001</v>
      </c>
      <c r="H148" s="973"/>
      <c r="I148" s="1084">
        <f t="shared" si="12"/>
        <v>16.001999999999999</v>
      </c>
      <c r="J148" s="1026">
        <f t="shared" si="13"/>
        <v>3352.7999999999997</v>
      </c>
      <c r="K148" s="1026">
        <f t="shared" si="14"/>
        <v>47.751999999999995</v>
      </c>
      <c r="L148" s="1085">
        <f t="shared" si="15"/>
        <v>468.37600000000003</v>
      </c>
    </row>
    <row r="149" spans="2:12" x14ac:dyDescent="0.2">
      <c r="B149" s="990"/>
      <c r="C149" s="1082">
        <v>0.88</v>
      </c>
      <c r="D149" s="415">
        <v>132</v>
      </c>
      <c r="E149" s="1077">
        <v>2.63</v>
      </c>
      <c r="F149" s="1077">
        <v>18.75</v>
      </c>
      <c r="H149" s="1059" t="s">
        <v>333</v>
      </c>
      <c r="I149" s="1086">
        <f t="shared" si="12"/>
        <v>22.352</v>
      </c>
      <c r="J149" s="1027">
        <f t="shared" si="13"/>
        <v>3352.7999999999997</v>
      </c>
      <c r="K149" s="1027">
        <f t="shared" si="14"/>
        <v>66.801999999999992</v>
      </c>
      <c r="L149" s="1087">
        <f t="shared" si="15"/>
        <v>476.25</v>
      </c>
    </row>
    <row r="150" spans="2:12" x14ac:dyDescent="0.2">
      <c r="B150" s="990"/>
      <c r="C150" s="1082">
        <v>1.1299999999999999</v>
      </c>
      <c r="D150" s="415">
        <v>132</v>
      </c>
      <c r="E150" s="1077">
        <v>3.38</v>
      </c>
      <c r="F150" s="1077">
        <v>19</v>
      </c>
      <c r="H150" s="1066">
        <f>132*25.4</f>
        <v>3352.7999999999997</v>
      </c>
      <c r="I150" s="1086">
        <f t="shared" si="12"/>
        <v>28.701999999999995</v>
      </c>
      <c r="J150" s="1027">
        <f t="shared" si="13"/>
        <v>3352.7999999999997</v>
      </c>
      <c r="K150" s="1027">
        <f t="shared" si="14"/>
        <v>85.85199999999999</v>
      </c>
      <c r="L150" s="1087">
        <f t="shared" si="15"/>
        <v>482.59999999999997</v>
      </c>
    </row>
    <row r="151" spans="2:12" ht="13.5" thickBot="1" x14ac:dyDescent="0.25">
      <c r="B151" s="974"/>
      <c r="C151" s="1083">
        <v>1.5</v>
      </c>
      <c r="D151" s="1079">
        <v>132</v>
      </c>
      <c r="E151" s="1080">
        <v>4.5</v>
      </c>
      <c r="F151" s="1080">
        <v>19.5</v>
      </c>
      <c r="H151" s="974"/>
      <c r="I151" s="1088">
        <f t="shared" si="12"/>
        <v>38.099999999999994</v>
      </c>
      <c r="J151" s="1089">
        <f t="shared" si="13"/>
        <v>3352.7999999999997</v>
      </c>
      <c r="K151" s="1089">
        <f t="shared" si="14"/>
        <v>114.3</v>
      </c>
      <c r="L151" s="1090">
        <f t="shared" si="15"/>
        <v>495.29999999999995</v>
      </c>
    </row>
    <row r="152" spans="2:12" ht="14.25" thickTop="1" thickBot="1" x14ac:dyDescent="0.25">
      <c r="B152" s="1063" t="s">
        <v>298</v>
      </c>
      <c r="C152" s="1063" t="s">
        <v>317</v>
      </c>
      <c r="D152" s="1063" t="s">
        <v>299</v>
      </c>
      <c r="E152" s="1063" t="s">
        <v>300</v>
      </c>
      <c r="F152" s="1063" t="s">
        <v>301</v>
      </c>
      <c r="H152" s="1063" t="s">
        <v>298</v>
      </c>
      <c r="I152" s="1063" t="s">
        <v>318</v>
      </c>
      <c r="J152" s="1063" t="s">
        <v>307</v>
      </c>
      <c r="K152" s="1063" t="s">
        <v>308</v>
      </c>
      <c r="L152" s="1063" t="s">
        <v>309</v>
      </c>
    </row>
    <row r="153" spans="2:12" ht="13.5" thickTop="1" x14ac:dyDescent="0.2">
      <c r="B153" s="973"/>
      <c r="C153" s="1074">
        <v>0.63</v>
      </c>
      <c r="D153" s="1057">
        <v>132</v>
      </c>
      <c r="E153" s="1075">
        <v>1.88</v>
      </c>
      <c r="F153" s="1075">
        <v>20.13</v>
      </c>
      <c r="H153" s="973"/>
      <c r="I153" s="1084">
        <f t="shared" ref="I153:I176" si="16">C153*25.4</f>
        <v>16.001999999999999</v>
      </c>
      <c r="J153" s="1026">
        <f t="shared" ref="J153:J176" si="17">D153*25.4</f>
        <v>3352.7999999999997</v>
      </c>
      <c r="K153" s="1026">
        <f t="shared" ref="K153:K176" si="18">E153*25.4</f>
        <v>47.751999999999995</v>
      </c>
      <c r="L153" s="1085">
        <f t="shared" ref="L153:L176" si="19">F153*25.4</f>
        <v>511.30199999999996</v>
      </c>
    </row>
    <row r="154" spans="2:12" x14ac:dyDescent="0.2">
      <c r="B154" s="990"/>
      <c r="C154" s="1076">
        <v>0.88</v>
      </c>
      <c r="D154" s="415">
        <v>132</v>
      </c>
      <c r="E154" s="1077">
        <v>2.63</v>
      </c>
      <c r="F154" s="1077">
        <v>20.440000000000001</v>
      </c>
      <c r="H154" s="1059" t="s">
        <v>334</v>
      </c>
      <c r="I154" s="1086">
        <f t="shared" si="16"/>
        <v>22.352</v>
      </c>
      <c r="J154" s="1027">
        <f t="shared" si="17"/>
        <v>3352.7999999999997</v>
      </c>
      <c r="K154" s="1027">
        <f t="shared" si="18"/>
        <v>66.801999999999992</v>
      </c>
      <c r="L154" s="1087">
        <f t="shared" si="19"/>
        <v>519.17600000000004</v>
      </c>
    </row>
    <row r="155" spans="2:12" x14ac:dyDescent="0.2">
      <c r="B155" s="990"/>
      <c r="C155" s="1076">
        <v>1.1299999999999999</v>
      </c>
      <c r="D155" s="415">
        <v>132</v>
      </c>
      <c r="E155" s="1077">
        <v>3.38</v>
      </c>
      <c r="F155" s="1077">
        <v>20.69</v>
      </c>
      <c r="H155" s="1066">
        <f>138*25.4</f>
        <v>3505.2</v>
      </c>
      <c r="I155" s="1086">
        <f t="shared" si="16"/>
        <v>28.701999999999995</v>
      </c>
      <c r="J155" s="1027">
        <f t="shared" si="17"/>
        <v>3352.7999999999997</v>
      </c>
      <c r="K155" s="1027">
        <f t="shared" si="18"/>
        <v>85.85199999999999</v>
      </c>
      <c r="L155" s="1087">
        <f t="shared" si="19"/>
        <v>525.52599999999995</v>
      </c>
    </row>
    <row r="156" spans="2:12" ht="13.5" thickBot="1" x14ac:dyDescent="0.25">
      <c r="B156" s="974"/>
      <c r="C156" s="1078">
        <v>1.5</v>
      </c>
      <c r="D156" s="1079">
        <v>132</v>
      </c>
      <c r="E156" s="1080">
        <v>4.5</v>
      </c>
      <c r="F156" s="1080">
        <v>21.13</v>
      </c>
      <c r="H156" s="974"/>
      <c r="I156" s="1088">
        <f t="shared" si="16"/>
        <v>38.099999999999994</v>
      </c>
      <c r="J156" s="1089">
        <f t="shared" si="17"/>
        <v>3352.7999999999997</v>
      </c>
      <c r="K156" s="1089">
        <f t="shared" si="18"/>
        <v>114.3</v>
      </c>
      <c r="L156" s="1090">
        <f t="shared" si="19"/>
        <v>536.702</v>
      </c>
    </row>
    <row r="157" spans="2:12" ht="13.5" thickTop="1" x14ac:dyDescent="0.2">
      <c r="B157" s="973"/>
      <c r="C157" s="1081">
        <v>0.63</v>
      </c>
      <c r="D157" s="1057">
        <v>144</v>
      </c>
      <c r="E157" s="1075">
        <v>1.88</v>
      </c>
      <c r="F157" s="1075">
        <v>20</v>
      </c>
      <c r="H157" s="973"/>
      <c r="I157" s="1084">
        <f t="shared" si="16"/>
        <v>16.001999999999999</v>
      </c>
      <c r="J157" s="1026">
        <f t="shared" si="17"/>
        <v>3657.6</v>
      </c>
      <c r="K157" s="1026">
        <f t="shared" si="18"/>
        <v>47.751999999999995</v>
      </c>
      <c r="L157" s="1085">
        <f t="shared" si="19"/>
        <v>508</v>
      </c>
    </row>
    <row r="158" spans="2:12" x14ac:dyDescent="0.2">
      <c r="B158" s="990"/>
      <c r="C158" s="1082">
        <v>0.88</v>
      </c>
      <c r="D158" s="415">
        <v>144</v>
      </c>
      <c r="E158" s="1077">
        <v>2.63</v>
      </c>
      <c r="F158" s="1077">
        <v>20.309999999999999</v>
      </c>
      <c r="H158" s="1059" t="s">
        <v>335</v>
      </c>
      <c r="I158" s="1086">
        <f t="shared" si="16"/>
        <v>22.352</v>
      </c>
      <c r="J158" s="1027">
        <f t="shared" si="17"/>
        <v>3657.6</v>
      </c>
      <c r="K158" s="1027">
        <f t="shared" si="18"/>
        <v>66.801999999999992</v>
      </c>
      <c r="L158" s="1087">
        <f t="shared" si="19"/>
        <v>515.87399999999991</v>
      </c>
    </row>
    <row r="159" spans="2:12" x14ac:dyDescent="0.2">
      <c r="B159" s="990"/>
      <c r="C159" s="1082">
        <v>1.1299999999999999</v>
      </c>
      <c r="D159" s="415">
        <v>144</v>
      </c>
      <c r="E159" s="1077">
        <v>3.38</v>
      </c>
      <c r="F159" s="1077">
        <v>20.63</v>
      </c>
      <c r="H159" s="1066">
        <f>144*25.4</f>
        <v>3657.6</v>
      </c>
      <c r="I159" s="1086">
        <f t="shared" si="16"/>
        <v>28.701999999999995</v>
      </c>
      <c r="J159" s="1027">
        <f t="shared" si="17"/>
        <v>3657.6</v>
      </c>
      <c r="K159" s="1027">
        <f t="shared" si="18"/>
        <v>85.85199999999999</v>
      </c>
      <c r="L159" s="1087">
        <f t="shared" si="19"/>
        <v>524.00199999999995</v>
      </c>
    </row>
    <row r="160" spans="2:12" ht="13.5" thickBot="1" x14ac:dyDescent="0.25">
      <c r="B160" s="974"/>
      <c r="C160" s="1083">
        <v>1.5</v>
      </c>
      <c r="D160" s="1079">
        <v>144</v>
      </c>
      <c r="E160" s="1080">
        <v>4.5</v>
      </c>
      <c r="F160" s="1080">
        <v>21.13</v>
      </c>
      <c r="H160" s="974"/>
      <c r="I160" s="1088">
        <f t="shared" si="16"/>
        <v>38.099999999999994</v>
      </c>
      <c r="J160" s="1089">
        <f t="shared" si="17"/>
        <v>3657.6</v>
      </c>
      <c r="K160" s="1089">
        <f t="shared" si="18"/>
        <v>114.3</v>
      </c>
      <c r="L160" s="1090">
        <f t="shared" si="19"/>
        <v>536.702</v>
      </c>
    </row>
    <row r="161" spans="2:12" ht="13.5" thickTop="1" x14ac:dyDescent="0.2">
      <c r="B161" s="973"/>
      <c r="C161" s="1081">
        <v>0.75</v>
      </c>
      <c r="D161" s="1057">
        <v>144</v>
      </c>
      <c r="E161" s="1075">
        <v>2.25</v>
      </c>
      <c r="F161" s="1075">
        <v>23.69</v>
      </c>
      <c r="H161" s="973"/>
      <c r="I161" s="1084">
        <f t="shared" si="16"/>
        <v>19.049999999999997</v>
      </c>
      <c r="J161" s="1026">
        <f t="shared" si="17"/>
        <v>3657.6</v>
      </c>
      <c r="K161" s="1026">
        <f t="shared" si="18"/>
        <v>57.15</v>
      </c>
      <c r="L161" s="1085">
        <f t="shared" si="19"/>
        <v>601.726</v>
      </c>
    </row>
    <row r="162" spans="2:12" x14ac:dyDescent="0.2">
      <c r="B162" s="990"/>
      <c r="C162" s="1082">
        <v>1.1299999999999999</v>
      </c>
      <c r="D162" s="415">
        <v>144</v>
      </c>
      <c r="E162" s="1077">
        <v>3.38</v>
      </c>
      <c r="F162" s="1077">
        <v>24.13</v>
      </c>
      <c r="H162" s="1059" t="s">
        <v>336</v>
      </c>
      <c r="I162" s="1086">
        <f t="shared" si="16"/>
        <v>28.701999999999995</v>
      </c>
      <c r="J162" s="1027">
        <f t="shared" si="17"/>
        <v>3657.6</v>
      </c>
      <c r="K162" s="1027">
        <f t="shared" si="18"/>
        <v>85.85199999999999</v>
      </c>
      <c r="L162" s="1087">
        <f t="shared" si="19"/>
        <v>612.90199999999993</v>
      </c>
    </row>
    <row r="163" spans="2:12" x14ac:dyDescent="0.2">
      <c r="B163" s="990"/>
      <c r="C163" s="1082">
        <v>1.5</v>
      </c>
      <c r="D163" s="415">
        <v>144</v>
      </c>
      <c r="E163" s="1077">
        <v>4.5</v>
      </c>
      <c r="F163" s="1077">
        <v>24.5</v>
      </c>
      <c r="H163" s="1066">
        <f>156*25.4</f>
        <v>3962.3999999999996</v>
      </c>
      <c r="I163" s="1086">
        <f t="shared" si="16"/>
        <v>38.099999999999994</v>
      </c>
      <c r="J163" s="1027">
        <f t="shared" si="17"/>
        <v>3657.6</v>
      </c>
      <c r="K163" s="1027">
        <f t="shared" si="18"/>
        <v>114.3</v>
      </c>
      <c r="L163" s="1087">
        <f t="shared" si="19"/>
        <v>622.29999999999995</v>
      </c>
    </row>
    <row r="164" spans="2:12" ht="13.5" thickBot="1" x14ac:dyDescent="0.25">
      <c r="B164" s="974"/>
      <c r="C164" s="1083">
        <v>1.88</v>
      </c>
      <c r="D164" s="1079">
        <v>144</v>
      </c>
      <c r="E164" s="1080">
        <v>5.63</v>
      </c>
      <c r="F164" s="1080">
        <v>24.94</v>
      </c>
      <c r="H164" s="974"/>
      <c r="I164" s="1088">
        <f t="shared" si="16"/>
        <v>47.751999999999995</v>
      </c>
      <c r="J164" s="1089">
        <f t="shared" si="17"/>
        <v>3657.6</v>
      </c>
      <c r="K164" s="1089">
        <f t="shared" si="18"/>
        <v>143.00199999999998</v>
      </c>
      <c r="L164" s="1090">
        <f t="shared" si="19"/>
        <v>633.476</v>
      </c>
    </row>
    <row r="165" spans="2:12" ht="13.5" thickTop="1" x14ac:dyDescent="0.2">
      <c r="B165" s="973"/>
      <c r="C165" s="1081">
        <v>0.75</v>
      </c>
      <c r="D165" s="1057">
        <v>170</v>
      </c>
      <c r="E165" s="1075">
        <v>2.25</v>
      </c>
      <c r="F165" s="1075">
        <v>23.13</v>
      </c>
      <c r="H165" s="973"/>
      <c r="I165" s="1084">
        <f t="shared" si="16"/>
        <v>19.049999999999997</v>
      </c>
      <c r="J165" s="1026">
        <f t="shared" si="17"/>
        <v>4318</v>
      </c>
      <c r="K165" s="1026">
        <f t="shared" si="18"/>
        <v>57.15</v>
      </c>
      <c r="L165" s="1085">
        <f t="shared" si="19"/>
        <v>587.50199999999995</v>
      </c>
    </row>
    <row r="166" spans="2:12" x14ac:dyDescent="0.2">
      <c r="B166" s="990"/>
      <c r="C166" s="1082">
        <v>1.1299999999999999</v>
      </c>
      <c r="D166" s="415">
        <v>170</v>
      </c>
      <c r="E166" s="1077">
        <v>3.38</v>
      </c>
      <c r="F166" s="1077">
        <v>23.56</v>
      </c>
      <c r="H166" s="1059" t="s">
        <v>337</v>
      </c>
      <c r="I166" s="1086">
        <f t="shared" si="16"/>
        <v>28.701999999999995</v>
      </c>
      <c r="J166" s="1027">
        <f t="shared" si="17"/>
        <v>4318</v>
      </c>
      <c r="K166" s="1027">
        <f t="shared" si="18"/>
        <v>85.85199999999999</v>
      </c>
      <c r="L166" s="1087">
        <f t="shared" si="19"/>
        <v>598.42399999999998</v>
      </c>
    </row>
    <row r="167" spans="2:12" x14ac:dyDescent="0.2">
      <c r="B167" s="990"/>
      <c r="C167" s="1082">
        <v>1.5</v>
      </c>
      <c r="D167" s="415">
        <v>170</v>
      </c>
      <c r="E167" s="1077">
        <v>4.5</v>
      </c>
      <c r="F167" s="1077">
        <v>24.06</v>
      </c>
      <c r="H167" s="1066">
        <f>168*25.4</f>
        <v>4267.2</v>
      </c>
      <c r="I167" s="1086">
        <f t="shared" si="16"/>
        <v>38.099999999999994</v>
      </c>
      <c r="J167" s="1027">
        <f t="shared" si="17"/>
        <v>4318</v>
      </c>
      <c r="K167" s="1027">
        <f t="shared" si="18"/>
        <v>114.3</v>
      </c>
      <c r="L167" s="1087">
        <f t="shared" si="19"/>
        <v>611.12399999999991</v>
      </c>
    </row>
    <row r="168" spans="2:12" ht="13.5" thickBot="1" x14ac:dyDescent="0.25">
      <c r="B168" s="974"/>
      <c r="C168" s="1083">
        <v>1.88</v>
      </c>
      <c r="D168" s="1079">
        <v>170</v>
      </c>
      <c r="E168" s="1080">
        <v>5.63</v>
      </c>
      <c r="F168" s="1080">
        <v>24.19</v>
      </c>
      <c r="H168" s="974"/>
      <c r="I168" s="1088">
        <f t="shared" si="16"/>
        <v>47.751999999999995</v>
      </c>
      <c r="J168" s="1089">
        <f t="shared" si="17"/>
        <v>4318</v>
      </c>
      <c r="K168" s="1089">
        <f t="shared" si="18"/>
        <v>143.00199999999998</v>
      </c>
      <c r="L168" s="1090">
        <f t="shared" si="19"/>
        <v>614.42600000000004</v>
      </c>
    </row>
    <row r="169" spans="2:12" ht="13.5" thickTop="1" x14ac:dyDescent="0.2">
      <c r="B169" s="973"/>
      <c r="C169" s="1081">
        <v>0.88</v>
      </c>
      <c r="D169" s="1057">
        <v>170</v>
      </c>
      <c r="E169" s="1075">
        <v>2.63</v>
      </c>
      <c r="F169" s="1075">
        <v>26.69</v>
      </c>
      <c r="H169" s="973"/>
      <c r="I169" s="1084">
        <f t="shared" si="16"/>
        <v>22.352</v>
      </c>
      <c r="J169" s="1026">
        <f t="shared" si="17"/>
        <v>4318</v>
      </c>
      <c r="K169" s="1026">
        <f t="shared" si="18"/>
        <v>66.801999999999992</v>
      </c>
      <c r="L169" s="1085">
        <f t="shared" si="19"/>
        <v>677.92600000000004</v>
      </c>
    </row>
    <row r="170" spans="2:12" x14ac:dyDescent="0.2">
      <c r="B170" s="990"/>
      <c r="C170" s="1082">
        <v>1.25</v>
      </c>
      <c r="D170" s="415">
        <v>170</v>
      </c>
      <c r="E170" s="1077">
        <v>3.75</v>
      </c>
      <c r="F170" s="1077">
        <v>27.13</v>
      </c>
      <c r="H170" s="1059">
        <v>180</v>
      </c>
      <c r="I170" s="1086">
        <f t="shared" si="16"/>
        <v>31.75</v>
      </c>
      <c r="J170" s="1027">
        <f t="shared" si="17"/>
        <v>4318</v>
      </c>
      <c r="K170" s="1027">
        <f t="shared" si="18"/>
        <v>95.25</v>
      </c>
      <c r="L170" s="1087">
        <f t="shared" si="19"/>
        <v>689.10199999999998</v>
      </c>
    </row>
    <row r="171" spans="2:12" x14ac:dyDescent="0.2">
      <c r="B171" s="990"/>
      <c r="C171" s="1082">
        <v>1.63</v>
      </c>
      <c r="D171" s="415">
        <v>170</v>
      </c>
      <c r="E171" s="1077">
        <v>4.88</v>
      </c>
      <c r="F171" s="1077">
        <v>27.56</v>
      </c>
      <c r="H171" s="1066">
        <f>180*25.4</f>
        <v>4572</v>
      </c>
      <c r="I171" s="1086">
        <f t="shared" si="16"/>
        <v>41.401999999999994</v>
      </c>
      <c r="J171" s="1027">
        <f t="shared" si="17"/>
        <v>4318</v>
      </c>
      <c r="K171" s="1027">
        <f t="shared" si="18"/>
        <v>123.95199999999998</v>
      </c>
      <c r="L171" s="1087">
        <f t="shared" si="19"/>
        <v>700.02399999999989</v>
      </c>
    </row>
    <row r="172" spans="2:12" ht="13.5" thickBot="1" x14ac:dyDescent="0.25">
      <c r="B172" s="974"/>
      <c r="C172" s="1083">
        <v>2</v>
      </c>
      <c r="D172" s="1079">
        <v>170</v>
      </c>
      <c r="E172" s="1080">
        <v>6</v>
      </c>
      <c r="F172" s="1080">
        <v>28</v>
      </c>
      <c r="H172" s="974"/>
      <c r="I172" s="1088">
        <f t="shared" si="16"/>
        <v>50.8</v>
      </c>
      <c r="J172" s="1089">
        <f t="shared" si="17"/>
        <v>4318</v>
      </c>
      <c r="K172" s="1089">
        <f t="shared" si="18"/>
        <v>152.39999999999998</v>
      </c>
      <c r="L172" s="1090">
        <f t="shared" si="19"/>
        <v>711.19999999999993</v>
      </c>
    </row>
    <row r="173" spans="2:12" ht="13.5" thickTop="1" x14ac:dyDescent="0.2">
      <c r="B173" s="973"/>
      <c r="C173" s="1081">
        <v>0.88</v>
      </c>
      <c r="D173" s="1057">
        <v>170</v>
      </c>
      <c r="E173" s="1075">
        <v>2.63</v>
      </c>
      <c r="F173" s="1075">
        <v>30.5</v>
      </c>
      <c r="H173" s="973"/>
      <c r="I173" s="1084">
        <f t="shared" si="16"/>
        <v>22.352</v>
      </c>
      <c r="J173" s="1026">
        <f t="shared" si="17"/>
        <v>4318</v>
      </c>
      <c r="K173" s="1026">
        <f t="shared" si="18"/>
        <v>66.801999999999992</v>
      </c>
      <c r="L173" s="1085">
        <f t="shared" si="19"/>
        <v>774.69999999999993</v>
      </c>
    </row>
    <row r="174" spans="2:12" x14ac:dyDescent="0.2">
      <c r="B174" s="990"/>
      <c r="C174" s="1082">
        <v>1.25</v>
      </c>
      <c r="D174" s="415">
        <v>170</v>
      </c>
      <c r="E174" s="1077">
        <v>3.75</v>
      </c>
      <c r="F174" s="1077">
        <v>30.88</v>
      </c>
      <c r="H174" s="1059" t="s">
        <v>338</v>
      </c>
      <c r="I174" s="1086">
        <f t="shared" si="16"/>
        <v>31.75</v>
      </c>
      <c r="J174" s="1027">
        <f t="shared" si="17"/>
        <v>4318</v>
      </c>
      <c r="K174" s="1027">
        <f t="shared" si="18"/>
        <v>95.25</v>
      </c>
      <c r="L174" s="1087">
        <f t="shared" si="19"/>
        <v>784.35199999999998</v>
      </c>
    </row>
    <row r="175" spans="2:12" x14ac:dyDescent="0.2">
      <c r="B175" s="990"/>
      <c r="C175" s="1082">
        <v>1.63</v>
      </c>
      <c r="D175" s="415">
        <v>170</v>
      </c>
      <c r="E175" s="1077">
        <v>4.88</v>
      </c>
      <c r="F175" s="1077">
        <v>31.25</v>
      </c>
      <c r="H175" s="1066">
        <f>192*25.4</f>
        <v>4876.7999999999993</v>
      </c>
      <c r="I175" s="1086">
        <f t="shared" si="16"/>
        <v>41.401999999999994</v>
      </c>
      <c r="J175" s="1027">
        <f t="shared" si="17"/>
        <v>4318</v>
      </c>
      <c r="K175" s="1027">
        <f t="shared" si="18"/>
        <v>123.95199999999998</v>
      </c>
      <c r="L175" s="1087">
        <f t="shared" si="19"/>
        <v>793.75</v>
      </c>
    </row>
    <row r="176" spans="2:12" ht="13.5" thickBot="1" x14ac:dyDescent="0.25">
      <c r="B176" s="974"/>
      <c r="C176" s="1083">
        <v>2</v>
      </c>
      <c r="D176" s="1079">
        <v>170</v>
      </c>
      <c r="E176" s="1080">
        <v>6</v>
      </c>
      <c r="F176" s="1080">
        <v>31.63</v>
      </c>
      <c r="H176" s="974"/>
      <c r="I176" s="1088">
        <f t="shared" si="16"/>
        <v>50.8</v>
      </c>
      <c r="J176" s="1089">
        <f t="shared" si="17"/>
        <v>4318</v>
      </c>
      <c r="K176" s="1089">
        <f t="shared" si="18"/>
        <v>152.39999999999998</v>
      </c>
      <c r="L176" s="1090">
        <f t="shared" si="19"/>
        <v>803.40199999999993</v>
      </c>
    </row>
    <row r="177" spans="2:12" ht="14.25" thickTop="1" thickBot="1" x14ac:dyDescent="0.25">
      <c r="B177" s="1063" t="s">
        <v>298</v>
      </c>
      <c r="C177" s="1063" t="s">
        <v>317</v>
      </c>
      <c r="D177" s="1063" t="s">
        <v>299</v>
      </c>
      <c r="E177" s="1063" t="s">
        <v>300</v>
      </c>
      <c r="F177" s="1063" t="s">
        <v>301</v>
      </c>
      <c r="H177" s="1063" t="s">
        <v>298</v>
      </c>
      <c r="I177" s="1063" t="s">
        <v>318</v>
      </c>
      <c r="J177" s="1063" t="s">
        <v>307</v>
      </c>
      <c r="K177" s="1063" t="s">
        <v>308</v>
      </c>
      <c r="L177" s="1063" t="s">
        <v>309</v>
      </c>
    </row>
    <row r="178" spans="2:12" ht="13.5" thickTop="1" x14ac:dyDescent="0.2">
      <c r="B178" s="973"/>
      <c r="C178" s="1074">
        <v>0.88</v>
      </c>
      <c r="D178" s="1057">
        <v>170</v>
      </c>
      <c r="E178" s="1075">
        <v>2.63</v>
      </c>
      <c r="F178" s="1075">
        <v>34.630000000000003</v>
      </c>
      <c r="H178" s="973"/>
      <c r="I178" s="1084">
        <f t="shared" ref="I178:I193" si="20">C178*25.4</f>
        <v>22.352</v>
      </c>
      <c r="J178" s="1026">
        <f t="shared" ref="J178:J193" si="21">D178*25.4</f>
        <v>4318</v>
      </c>
      <c r="K178" s="1026">
        <f t="shared" ref="K178:K193" si="22">E178*25.4</f>
        <v>66.801999999999992</v>
      </c>
      <c r="L178" s="1085">
        <f t="shared" ref="L178:L193" si="23">F178*25.4</f>
        <v>879.60199999999998</v>
      </c>
    </row>
    <row r="179" spans="2:12" x14ac:dyDescent="0.2">
      <c r="B179" s="990"/>
      <c r="C179" s="1076">
        <v>1.25</v>
      </c>
      <c r="D179" s="415">
        <v>170</v>
      </c>
      <c r="E179" s="1077">
        <v>3.75</v>
      </c>
      <c r="F179" s="1077">
        <v>35</v>
      </c>
      <c r="H179" s="1059" t="s">
        <v>339</v>
      </c>
      <c r="I179" s="1086">
        <f t="shared" si="20"/>
        <v>31.75</v>
      </c>
      <c r="J179" s="1027">
        <f t="shared" si="21"/>
        <v>4318</v>
      </c>
      <c r="K179" s="1027">
        <f t="shared" si="22"/>
        <v>95.25</v>
      </c>
      <c r="L179" s="1087">
        <f t="shared" si="23"/>
        <v>889</v>
      </c>
    </row>
    <row r="180" spans="2:12" x14ac:dyDescent="0.2">
      <c r="B180" s="990"/>
      <c r="C180" s="1076">
        <v>1.63</v>
      </c>
      <c r="D180" s="415">
        <v>170</v>
      </c>
      <c r="E180" s="1077">
        <v>4.88</v>
      </c>
      <c r="F180" s="1077">
        <v>35.31</v>
      </c>
      <c r="H180" s="1066">
        <f>204*25.4</f>
        <v>5181.5999999999995</v>
      </c>
      <c r="I180" s="1086">
        <f t="shared" si="20"/>
        <v>41.401999999999994</v>
      </c>
      <c r="J180" s="1027">
        <f t="shared" si="21"/>
        <v>4318</v>
      </c>
      <c r="K180" s="1027">
        <f t="shared" si="22"/>
        <v>123.95199999999998</v>
      </c>
      <c r="L180" s="1087">
        <f t="shared" si="23"/>
        <v>896.87400000000002</v>
      </c>
    </row>
    <row r="181" spans="2:12" ht="13.5" thickBot="1" x14ac:dyDescent="0.25">
      <c r="B181" s="974"/>
      <c r="C181" s="1078">
        <v>2</v>
      </c>
      <c r="D181" s="1079">
        <v>170</v>
      </c>
      <c r="E181" s="1080">
        <v>6</v>
      </c>
      <c r="F181" s="1080">
        <v>35.630000000000003</v>
      </c>
      <c r="H181" s="974"/>
      <c r="I181" s="1088">
        <f t="shared" si="20"/>
        <v>50.8</v>
      </c>
      <c r="J181" s="1089">
        <f t="shared" si="21"/>
        <v>4318</v>
      </c>
      <c r="K181" s="1089">
        <f t="shared" si="22"/>
        <v>152.39999999999998</v>
      </c>
      <c r="L181" s="1090">
        <f t="shared" si="23"/>
        <v>905.00200000000007</v>
      </c>
    </row>
    <row r="182" spans="2:12" ht="13.5" thickTop="1" x14ac:dyDescent="0.2">
      <c r="B182" s="973"/>
      <c r="C182" s="1081">
        <v>0.88</v>
      </c>
      <c r="D182" s="1057">
        <v>170</v>
      </c>
      <c r="E182" s="1075">
        <v>2.63</v>
      </c>
      <c r="F182" s="1075">
        <v>39.06</v>
      </c>
      <c r="H182" s="973"/>
      <c r="I182" s="1084">
        <f t="shared" si="20"/>
        <v>22.352</v>
      </c>
      <c r="J182" s="1026">
        <f t="shared" si="21"/>
        <v>4318</v>
      </c>
      <c r="K182" s="1026">
        <f t="shared" si="22"/>
        <v>66.801999999999992</v>
      </c>
      <c r="L182" s="1085">
        <f t="shared" si="23"/>
        <v>992.12400000000002</v>
      </c>
    </row>
    <row r="183" spans="2:12" x14ac:dyDescent="0.2">
      <c r="B183" s="990"/>
      <c r="C183" s="1082">
        <v>1.25</v>
      </c>
      <c r="D183" s="415">
        <v>170</v>
      </c>
      <c r="E183" s="1077">
        <v>3.75</v>
      </c>
      <c r="F183" s="1077">
        <v>39.5</v>
      </c>
      <c r="H183" s="1059" t="s">
        <v>340</v>
      </c>
      <c r="I183" s="1086">
        <f t="shared" si="20"/>
        <v>31.75</v>
      </c>
      <c r="J183" s="1027">
        <f t="shared" si="21"/>
        <v>4318</v>
      </c>
      <c r="K183" s="1027">
        <f t="shared" si="22"/>
        <v>95.25</v>
      </c>
      <c r="L183" s="1087">
        <f t="shared" si="23"/>
        <v>1003.3</v>
      </c>
    </row>
    <row r="184" spans="2:12" x14ac:dyDescent="0.2">
      <c r="B184" s="990"/>
      <c r="C184" s="1082">
        <v>1.63</v>
      </c>
      <c r="D184" s="415">
        <v>170</v>
      </c>
      <c r="E184" s="1077">
        <v>4.88</v>
      </c>
      <c r="F184" s="1077">
        <v>39.75</v>
      </c>
      <c r="H184" s="1066">
        <f>216*25.4</f>
        <v>5486.4</v>
      </c>
      <c r="I184" s="1086">
        <f t="shared" si="20"/>
        <v>41.401999999999994</v>
      </c>
      <c r="J184" s="1027">
        <f t="shared" si="21"/>
        <v>4318</v>
      </c>
      <c r="K184" s="1027">
        <f t="shared" si="22"/>
        <v>123.95199999999998</v>
      </c>
      <c r="L184" s="1087">
        <f t="shared" si="23"/>
        <v>1009.65</v>
      </c>
    </row>
    <row r="185" spans="2:12" ht="13.5" thickBot="1" x14ac:dyDescent="0.25">
      <c r="B185" s="974"/>
      <c r="C185" s="1083">
        <v>2</v>
      </c>
      <c r="D185" s="1079">
        <v>170</v>
      </c>
      <c r="E185" s="1080">
        <v>6</v>
      </c>
      <c r="F185" s="1080">
        <v>40</v>
      </c>
      <c r="H185" s="974"/>
      <c r="I185" s="1088">
        <f t="shared" si="20"/>
        <v>50.8</v>
      </c>
      <c r="J185" s="1089">
        <f t="shared" si="21"/>
        <v>4318</v>
      </c>
      <c r="K185" s="1089">
        <f t="shared" si="22"/>
        <v>152.39999999999998</v>
      </c>
      <c r="L185" s="1090">
        <f t="shared" si="23"/>
        <v>1016</v>
      </c>
    </row>
    <row r="186" spans="2:12" ht="13.5" thickTop="1" x14ac:dyDescent="0.2">
      <c r="B186" s="973"/>
      <c r="C186" s="1081">
        <v>0.88</v>
      </c>
      <c r="D186" s="1057">
        <v>180</v>
      </c>
      <c r="E186" s="1075">
        <v>2.63</v>
      </c>
      <c r="F186" s="1075">
        <v>41.25</v>
      </c>
      <c r="H186" s="973"/>
      <c r="I186" s="1084">
        <f t="shared" si="20"/>
        <v>22.352</v>
      </c>
      <c r="J186" s="1026">
        <f t="shared" si="21"/>
        <v>4572</v>
      </c>
      <c r="K186" s="1026">
        <f t="shared" si="22"/>
        <v>66.801999999999992</v>
      </c>
      <c r="L186" s="1085">
        <f t="shared" si="23"/>
        <v>1047.75</v>
      </c>
    </row>
    <row r="187" spans="2:12" x14ac:dyDescent="0.2">
      <c r="B187" s="990"/>
      <c r="C187" s="1082">
        <v>1.25</v>
      </c>
      <c r="D187" s="415">
        <v>180</v>
      </c>
      <c r="E187" s="1077">
        <v>3.75</v>
      </c>
      <c r="F187" s="1077">
        <v>41.5</v>
      </c>
      <c r="H187" s="1059" t="s">
        <v>341</v>
      </c>
      <c r="I187" s="1086">
        <f t="shared" si="20"/>
        <v>31.75</v>
      </c>
      <c r="J187" s="1027">
        <f t="shared" si="21"/>
        <v>4572</v>
      </c>
      <c r="K187" s="1027">
        <f t="shared" si="22"/>
        <v>95.25</v>
      </c>
      <c r="L187" s="1087">
        <f t="shared" si="23"/>
        <v>1054.0999999999999</v>
      </c>
    </row>
    <row r="188" spans="2:12" x14ac:dyDescent="0.2">
      <c r="B188" s="990"/>
      <c r="C188" s="1082">
        <v>1.63</v>
      </c>
      <c r="D188" s="415">
        <v>180</v>
      </c>
      <c r="E188" s="1077">
        <v>4.88</v>
      </c>
      <c r="F188" s="1077">
        <v>41.75</v>
      </c>
      <c r="H188" s="1066">
        <f>228*25.4</f>
        <v>5791.2</v>
      </c>
      <c r="I188" s="1086">
        <f t="shared" si="20"/>
        <v>41.401999999999994</v>
      </c>
      <c r="J188" s="1027">
        <f t="shared" si="21"/>
        <v>4572</v>
      </c>
      <c r="K188" s="1027">
        <f t="shared" si="22"/>
        <v>123.95199999999998</v>
      </c>
      <c r="L188" s="1087">
        <f t="shared" si="23"/>
        <v>1060.45</v>
      </c>
    </row>
    <row r="189" spans="2:12" ht="13.5" thickBot="1" x14ac:dyDescent="0.25">
      <c r="B189" s="974"/>
      <c r="C189" s="1083">
        <v>2</v>
      </c>
      <c r="D189" s="1079">
        <v>180</v>
      </c>
      <c r="E189" s="1080">
        <v>6</v>
      </c>
      <c r="F189" s="1080">
        <v>42</v>
      </c>
      <c r="H189" s="974"/>
      <c r="I189" s="1088">
        <f t="shared" si="20"/>
        <v>50.8</v>
      </c>
      <c r="J189" s="1089">
        <f t="shared" si="21"/>
        <v>4572</v>
      </c>
      <c r="K189" s="1089">
        <f t="shared" si="22"/>
        <v>152.39999999999998</v>
      </c>
      <c r="L189" s="1090">
        <f t="shared" si="23"/>
        <v>1066.8</v>
      </c>
    </row>
    <row r="190" spans="2:12" ht="13.5" thickTop="1" x14ac:dyDescent="0.2">
      <c r="B190" s="973"/>
      <c r="C190" s="1081">
        <v>0.88</v>
      </c>
      <c r="D190" s="1057">
        <v>180</v>
      </c>
      <c r="E190" s="1075">
        <v>2.63</v>
      </c>
      <c r="F190" s="1075">
        <v>46.25</v>
      </c>
      <c r="H190" s="973"/>
      <c r="I190" s="1084">
        <f t="shared" si="20"/>
        <v>22.352</v>
      </c>
      <c r="J190" s="1026">
        <f t="shared" si="21"/>
        <v>4572</v>
      </c>
      <c r="K190" s="1026">
        <f t="shared" si="22"/>
        <v>66.801999999999992</v>
      </c>
      <c r="L190" s="1085">
        <f t="shared" si="23"/>
        <v>1174.75</v>
      </c>
    </row>
    <row r="191" spans="2:12" x14ac:dyDescent="0.2">
      <c r="B191" s="990"/>
      <c r="C191" s="1082">
        <v>1.25</v>
      </c>
      <c r="D191" s="415">
        <v>180</v>
      </c>
      <c r="E191" s="1077">
        <v>3.75</v>
      </c>
      <c r="F191" s="1077">
        <v>46.44</v>
      </c>
      <c r="H191" s="1059" t="s">
        <v>342</v>
      </c>
      <c r="I191" s="1086">
        <f t="shared" si="20"/>
        <v>31.75</v>
      </c>
      <c r="J191" s="1027">
        <f t="shared" si="21"/>
        <v>4572</v>
      </c>
      <c r="K191" s="1027">
        <f t="shared" si="22"/>
        <v>95.25</v>
      </c>
      <c r="L191" s="1087">
        <f t="shared" si="23"/>
        <v>1179.5759999999998</v>
      </c>
    </row>
    <row r="192" spans="2:12" x14ac:dyDescent="0.2">
      <c r="B192" s="990"/>
      <c r="C192" s="1082">
        <v>1.63</v>
      </c>
      <c r="D192" s="415">
        <v>180</v>
      </c>
      <c r="E192" s="1077">
        <v>4.88</v>
      </c>
      <c r="F192" s="1077">
        <v>46.63</v>
      </c>
      <c r="H192" s="1066">
        <f>240*25.4</f>
        <v>6096</v>
      </c>
      <c r="I192" s="1086">
        <f t="shared" si="20"/>
        <v>41.401999999999994</v>
      </c>
      <c r="J192" s="1027">
        <f t="shared" si="21"/>
        <v>4572</v>
      </c>
      <c r="K192" s="1027">
        <f t="shared" si="22"/>
        <v>123.95199999999998</v>
      </c>
      <c r="L192" s="1087">
        <f t="shared" si="23"/>
        <v>1184.402</v>
      </c>
    </row>
    <row r="193" spans="2:12" ht="13.5" thickBot="1" x14ac:dyDescent="0.25">
      <c r="B193" s="974"/>
      <c r="C193" s="1083">
        <v>2</v>
      </c>
      <c r="D193" s="1079">
        <v>180</v>
      </c>
      <c r="E193" s="1080">
        <v>6</v>
      </c>
      <c r="F193" s="1080">
        <v>46.81</v>
      </c>
      <c r="H193" s="974"/>
      <c r="I193" s="1088">
        <f t="shared" si="20"/>
        <v>50.8</v>
      </c>
      <c r="J193" s="1089">
        <f t="shared" si="21"/>
        <v>4572</v>
      </c>
      <c r="K193" s="1089">
        <f t="shared" si="22"/>
        <v>152.39999999999998</v>
      </c>
      <c r="L193" s="1090">
        <f t="shared" si="23"/>
        <v>1188.9739999999999</v>
      </c>
    </row>
    <row r="194" spans="2:12" ht="13.5" thickTop="1" x14ac:dyDescent="0.2"/>
    <row r="206" spans="2:12" x14ac:dyDescent="0.2">
      <c r="B206" s="192" t="s">
        <v>292</v>
      </c>
    </row>
    <row r="207" spans="2:12" x14ac:dyDescent="0.2">
      <c r="B207" s="192" t="s">
        <v>304</v>
      </c>
    </row>
    <row r="208" spans="2:12" x14ac:dyDescent="0.2">
      <c r="B208" s="194" t="s">
        <v>295</v>
      </c>
    </row>
    <row r="209" spans="1:12" x14ac:dyDescent="0.2">
      <c r="B209" s="194" t="s">
        <v>294</v>
      </c>
    </row>
    <row r="216" spans="1:12" x14ac:dyDescent="0.2">
      <c r="A216" t="s">
        <v>302</v>
      </c>
    </row>
    <row r="217" spans="1:12" x14ac:dyDescent="0.2">
      <c r="A217" t="s">
        <v>303</v>
      </c>
    </row>
    <row r="218" spans="1:12" ht="13.5" thickBot="1" x14ac:dyDescent="0.25">
      <c r="B218" s="874" t="s">
        <v>344</v>
      </c>
      <c r="H218" s="192" t="s">
        <v>343</v>
      </c>
    </row>
    <row r="219" spans="1:12" ht="14.25" thickTop="1" thickBot="1" x14ac:dyDescent="0.25">
      <c r="B219" s="1063" t="s">
        <v>298</v>
      </c>
      <c r="C219" s="1063" t="s">
        <v>317</v>
      </c>
      <c r="D219" s="1063" t="s">
        <v>299</v>
      </c>
      <c r="E219" s="1063" t="s">
        <v>300</v>
      </c>
      <c r="F219" s="1063" t="s">
        <v>301</v>
      </c>
      <c r="G219" s="398" t="s">
        <v>345</v>
      </c>
      <c r="H219" s="1063" t="s">
        <v>298</v>
      </c>
      <c r="I219" s="1063" t="s">
        <v>318</v>
      </c>
      <c r="J219" s="1063" t="s">
        <v>307</v>
      </c>
      <c r="K219" s="1063" t="s">
        <v>308</v>
      </c>
      <c r="L219" s="1063" t="s">
        <v>309</v>
      </c>
    </row>
    <row r="220" spans="1:12" ht="13.5" thickTop="1" x14ac:dyDescent="0.2">
      <c r="B220" s="973"/>
      <c r="C220" s="1074">
        <v>0.38</v>
      </c>
      <c r="D220" s="1057">
        <v>24</v>
      </c>
      <c r="E220" s="1075">
        <v>1.63</v>
      </c>
      <c r="F220" s="1075">
        <v>4.5</v>
      </c>
      <c r="H220" s="973"/>
      <c r="I220" s="1084">
        <f t="shared" ref="I220:I243" si="24">C220*25.4</f>
        <v>9.6519999999999992</v>
      </c>
      <c r="J220" s="1026">
        <f t="shared" ref="J220:J243" si="25">D220*25.4</f>
        <v>609.59999999999991</v>
      </c>
      <c r="K220" s="1026">
        <f t="shared" ref="K220:K243" si="26">E220*25.4</f>
        <v>41.401999999999994</v>
      </c>
      <c r="L220" s="1085">
        <f t="shared" ref="L220:L243" si="27">F220*25.4</f>
        <v>114.3</v>
      </c>
    </row>
    <row r="221" spans="1:12" x14ac:dyDescent="0.2">
      <c r="B221" s="990"/>
      <c r="C221" s="1076">
        <v>0.5</v>
      </c>
      <c r="D221" s="415">
        <v>24</v>
      </c>
      <c r="E221" s="1077">
        <v>1.63</v>
      </c>
      <c r="F221" s="1077">
        <v>4.4400000000000004</v>
      </c>
      <c r="H221" s="1059" t="s">
        <v>305</v>
      </c>
      <c r="I221" s="1086">
        <f t="shared" si="24"/>
        <v>12.7</v>
      </c>
      <c r="J221" s="1027">
        <f t="shared" si="25"/>
        <v>609.59999999999991</v>
      </c>
      <c r="K221" s="1027">
        <f t="shared" si="26"/>
        <v>41.401999999999994</v>
      </c>
      <c r="L221" s="1087">
        <f t="shared" si="27"/>
        <v>112.77600000000001</v>
      </c>
    </row>
    <row r="222" spans="1:12" x14ac:dyDescent="0.2">
      <c r="B222" s="990"/>
      <c r="C222" s="1076">
        <v>0.63</v>
      </c>
      <c r="D222" s="415">
        <v>24</v>
      </c>
      <c r="E222" s="1077">
        <v>1.88</v>
      </c>
      <c r="F222" s="1077">
        <v>4.5</v>
      </c>
      <c r="H222" s="1064">
        <v>660</v>
      </c>
      <c r="I222" s="1086">
        <f t="shared" si="24"/>
        <v>16.001999999999999</v>
      </c>
      <c r="J222" s="1027">
        <f t="shared" si="25"/>
        <v>609.59999999999991</v>
      </c>
      <c r="K222" s="1027">
        <f t="shared" si="26"/>
        <v>47.751999999999995</v>
      </c>
      <c r="L222" s="1087">
        <f t="shared" si="27"/>
        <v>114.3</v>
      </c>
    </row>
    <row r="223" spans="1:12" ht="13.5" thickBot="1" x14ac:dyDescent="0.25">
      <c r="B223" s="974"/>
      <c r="C223" s="1078">
        <v>0.75</v>
      </c>
      <c r="D223" s="1079">
        <v>24</v>
      </c>
      <c r="E223" s="1080">
        <v>2.25</v>
      </c>
      <c r="F223" s="1080">
        <v>4.6900000000000004</v>
      </c>
      <c r="H223" s="974"/>
      <c r="I223" s="1088">
        <f t="shared" si="24"/>
        <v>19.049999999999997</v>
      </c>
      <c r="J223" s="1089">
        <f t="shared" si="25"/>
        <v>609.59999999999991</v>
      </c>
      <c r="K223" s="1089">
        <f t="shared" si="26"/>
        <v>57.15</v>
      </c>
      <c r="L223" s="1090">
        <f t="shared" si="27"/>
        <v>119.126</v>
      </c>
    </row>
    <row r="224" spans="1:12" ht="13.5" thickTop="1" x14ac:dyDescent="0.2">
      <c r="B224" s="973"/>
      <c r="C224" s="1081">
        <v>0.38</v>
      </c>
      <c r="D224" s="1057">
        <v>26</v>
      </c>
      <c r="E224" s="1075">
        <v>1.75</v>
      </c>
      <c r="F224" s="1075">
        <v>4.8099999999999996</v>
      </c>
      <c r="H224" s="973"/>
      <c r="I224" s="1084">
        <f t="shared" si="24"/>
        <v>9.6519999999999992</v>
      </c>
      <c r="J224" s="1026">
        <f t="shared" si="25"/>
        <v>660.4</v>
      </c>
      <c r="K224" s="1026">
        <f t="shared" si="26"/>
        <v>44.449999999999996</v>
      </c>
      <c r="L224" s="1085">
        <f t="shared" si="27"/>
        <v>122.17399999999998</v>
      </c>
    </row>
    <row r="225" spans="2:12" x14ac:dyDescent="0.2">
      <c r="B225" s="990"/>
      <c r="C225" s="1082">
        <v>0.5</v>
      </c>
      <c r="D225" s="415">
        <v>26</v>
      </c>
      <c r="E225" s="1077">
        <v>1.75</v>
      </c>
      <c r="F225" s="1077">
        <v>4.75</v>
      </c>
      <c r="H225" s="1059" t="s">
        <v>306</v>
      </c>
      <c r="I225" s="1086">
        <f t="shared" si="24"/>
        <v>12.7</v>
      </c>
      <c r="J225" s="1027">
        <f t="shared" si="25"/>
        <v>660.4</v>
      </c>
      <c r="K225" s="1027">
        <f t="shared" si="26"/>
        <v>44.449999999999996</v>
      </c>
      <c r="L225" s="1087">
        <f t="shared" si="27"/>
        <v>120.64999999999999</v>
      </c>
    </row>
    <row r="226" spans="2:12" x14ac:dyDescent="0.2">
      <c r="B226" s="990"/>
      <c r="C226" s="1082">
        <v>0.63</v>
      </c>
      <c r="D226" s="415">
        <v>26</v>
      </c>
      <c r="E226" s="1077">
        <v>1.88</v>
      </c>
      <c r="F226" s="1077">
        <v>4.75</v>
      </c>
      <c r="H226" s="1064">
        <v>711</v>
      </c>
      <c r="I226" s="1086">
        <f t="shared" si="24"/>
        <v>16.001999999999999</v>
      </c>
      <c r="J226" s="1027">
        <f t="shared" si="25"/>
        <v>660.4</v>
      </c>
      <c r="K226" s="1027">
        <f t="shared" si="26"/>
        <v>47.751999999999995</v>
      </c>
      <c r="L226" s="1087">
        <f t="shared" si="27"/>
        <v>120.64999999999999</v>
      </c>
    </row>
    <row r="227" spans="2:12" ht="13.5" thickBot="1" x14ac:dyDescent="0.25">
      <c r="B227" s="974"/>
      <c r="C227" s="1083">
        <v>0.75</v>
      </c>
      <c r="D227" s="1079">
        <v>26</v>
      </c>
      <c r="E227" s="1080">
        <v>2.25</v>
      </c>
      <c r="F227" s="1080">
        <v>4.9400000000000004</v>
      </c>
      <c r="H227" s="974"/>
      <c r="I227" s="1088">
        <f t="shared" si="24"/>
        <v>19.049999999999997</v>
      </c>
      <c r="J227" s="1089">
        <f t="shared" si="25"/>
        <v>660.4</v>
      </c>
      <c r="K227" s="1089">
        <f t="shared" si="26"/>
        <v>57.15</v>
      </c>
      <c r="L227" s="1090">
        <f t="shared" si="27"/>
        <v>125.476</v>
      </c>
    </row>
    <row r="228" spans="2:12" ht="13.5" thickTop="1" x14ac:dyDescent="0.2">
      <c r="B228" s="973"/>
      <c r="C228" s="1081">
        <v>0.38</v>
      </c>
      <c r="D228" s="1057">
        <v>30</v>
      </c>
      <c r="E228" s="1075">
        <v>1.88</v>
      </c>
      <c r="F228" s="1075">
        <v>4.88</v>
      </c>
      <c r="H228" s="973"/>
      <c r="I228" s="1084">
        <f t="shared" si="24"/>
        <v>9.6519999999999992</v>
      </c>
      <c r="J228" s="1026">
        <f t="shared" si="25"/>
        <v>762</v>
      </c>
      <c r="K228" s="1026">
        <f t="shared" si="26"/>
        <v>47.751999999999995</v>
      </c>
      <c r="L228" s="1085">
        <f t="shared" si="27"/>
        <v>123.95199999999998</v>
      </c>
    </row>
    <row r="229" spans="2:12" x14ac:dyDescent="0.2">
      <c r="B229" s="990"/>
      <c r="C229" s="1082">
        <v>0.5</v>
      </c>
      <c r="D229" s="415">
        <v>30</v>
      </c>
      <c r="E229" s="1077">
        <v>1.88</v>
      </c>
      <c r="F229" s="1077">
        <v>4.8099999999999996</v>
      </c>
      <c r="H229" s="1059" t="s">
        <v>310</v>
      </c>
      <c r="I229" s="1086">
        <f t="shared" si="24"/>
        <v>12.7</v>
      </c>
      <c r="J229" s="1027">
        <f t="shared" si="25"/>
        <v>762</v>
      </c>
      <c r="K229" s="1027">
        <f t="shared" si="26"/>
        <v>47.751999999999995</v>
      </c>
      <c r="L229" s="1087">
        <f t="shared" si="27"/>
        <v>122.17399999999998</v>
      </c>
    </row>
    <row r="230" spans="2:12" x14ac:dyDescent="0.2">
      <c r="B230" s="990"/>
      <c r="C230" s="1082">
        <v>0.63</v>
      </c>
      <c r="D230" s="415">
        <v>30</v>
      </c>
      <c r="E230" s="1077">
        <v>1.88</v>
      </c>
      <c r="F230" s="1077">
        <v>4.8099999999999996</v>
      </c>
      <c r="H230" s="1064">
        <f>30*25.4</f>
        <v>762</v>
      </c>
      <c r="I230" s="1086">
        <f t="shared" si="24"/>
        <v>16.001999999999999</v>
      </c>
      <c r="J230" s="1027">
        <f t="shared" si="25"/>
        <v>762</v>
      </c>
      <c r="K230" s="1027">
        <f t="shared" si="26"/>
        <v>47.751999999999995</v>
      </c>
      <c r="L230" s="1087">
        <f t="shared" si="27"/>
        <v>122.17399999999998</v>
      </c>
    </row>
    <row r="231" spans="2:12" ht="13.5" thickBot="1" x14ac:dyDescent="0.25">
      <c r="B231" s="974"/>
      <c r="C231" s="1083">
        <v>0.75</v>
      </c>
      <c r="D231" s="1079">
        <v>30</v>
      </c>
      <c r="E231" s="1080">
        <v>2.25</v>
      </c>
      <c r="F231" s="1080">
        <v>5</v>
      </c>
      <c r="H231" s="974"/>
      <c r="I231" s="1088">
        <f t="shared" si="24"/>
        <v>19.049999999999997</v>
      </c>
      <c r="J231" s="1089">
        <f t="shared" si="25"/>
        <v>762</v>
      </c>
      <c r="K231" s="1089">
        <f t="shared" si="26"/>
        <v>57.15</v>
      </c>
      <c r="L231" s="1090">
        <f t="shared" si="27"/>
        <v>127</v>
      </c>
    </row>
    <row r="232" spans="2:12" ht="13.5" thickTop="1" x14ac:dyDescent="0.2">
      <c r="B232" s="973"/>
      <c r="C232" s="1081">
        <v>0.38</v>
      </c>
      <c r="D232" s="1057">
        <v>30</v>
      </c>
      <c r="E232" s="1075">
        <v>2</v>
      </c>
      <c r="F232" s="1075">
        <v>5.56</v>
      </c>
      <c r="H232" s="973"/>
      <c r="I232" s="1084">
        <f t="shared" si="24"/>
        <v>9.6519999999999992</v>
      </c>
      <c r="J232" s="1026">
        <f t="shared" si="25"/>
        <v>762</v>
      </c>
      <c r="K232" s="1026">
        <f t="shared" si="26"/>
        <v>50.8</v>
      </c>
      <c r="L232" s="1085">
        <f t="shared" si="27"/>
        <v>141.22399999999999</v>
      </c>
    </row>
    <row r="233" spans="2:12" x14ac:dyDescent="0.2">
      <c r="B233" s="990"/>
      <c r="C233" s="1082">
        <v>0.5</v>
      </c>
      <c r="D233" s="415">
        <v>30</v>
      </c>
      <c r="E233" s="1077">
        <v>2</v>
      </c>
      <c r="F233" s="1077">
        <v>5.5</v>
      </c>
      <c r="H233" s="1059" t="s">
        <v>311</v>
      </c>
      <c r="I233" s="1086">
        <f t="shared" si="24"/>
        <v>12.7</v>
      </c>
      <c r="J233" s="1027">
        <f t="shared" si="25"/>
        <v>762</v>
      </c>
      <c r="K233" s="1027">
        <f t="shared" si="26"/>
        <v>50.8</v>
      </c>
      <c r="L233" s="1087">
        <f t="shared" si="27"/>
        <v>139.69999999999999</v>
      </c>
    </row>
    <row r="234" spans="2:12" x14ac:dyDescent="0.2">
      <c r="B234" s="990"/>
      <c r="C234" s="1082">
        <v>0.63</v>
      </c>
      <c r="D234" s="415">
        <v>30</v>
      </c>
      <c r="E234" s="1077">
        <v>2</v>
      </c>
      <c r="F234" s="1077">
        <v>5.38</v>
      </c>
      <c r="H234" s="1065">
        <f>32*25.4</f>
        <v>812.8</v>
      </c>
      <c r="I234" s="1086">
        <f t="shared" si="24"/>
        <v>16.001999999999999</v>
      </c>
      <c r="J234" s="1027">
        <f t="shared" si="25"/>
        <v>762</v>
      </c>
      <c r="K234" s="1027">
        <f t="shared" si="26"/>
        <v>50.8</v>
      </c>
      <c r="L234" s="1087">
        <f t="shared" si="27"/>
        <v>136.65199999999999</v>
      </c>
    </row>
    <row r="235" spans="2:12" ht="13.5" thickBot="1" x14ac:dyDescent="0.25">
      <c r="B235" s="974"/>
      <c r="C235" s="1083">
        <v>0.75</v>
      </c>
      <c r="D235" s="1079">
        <v>30</v>
      </c>
      <c r="E235" s="1080">
        <v>2.25</v>
      </c>
      <c r="F235" s="1080">
        <v>5.5</v>
      </c>
      <c r="H235" s="974"/>
      <c r="I235" s="1088">
        <f t="shared" si="24"/>
        <v>19.049999999999997</v>
      </c>
      <c r="J235" s="1089">
        <f t="shared" si="25"/>
        <v>762</v>
      </c>
      <c r="K235" s="1089">
        <f t="shared" si="26"/>
        <v>57.15</v>
      </c>
      <c r="L235" s="1090">
        <f t="shared" si="27"/>
        <v>139.69999999999999</v>
      </c>
    </row>
    <row r="236" spans="2:12" ht="13.5" thickTop="1" x14ac:dyDescent="0.2">
      <c r="B236" s="973"/>
      <c r="C236" s="1081">
        <v>0.38</v>
      </c>
      <c r="D236" s="1057">
        <v>34</v>
      </c>
      <c r="E236" s="1075">
        <v>2.13</v>
      </c>
      <c r="F236" s="1075">
        <v>5.56</v>
      </c>
      <c r="H236" s="973"/>
      <c r="I236" s="1084">
        <f t="shared" si="24"/>
        <v>9.6519999999999992</v>
      </c>
      <c r="J236" s="1026">
        <f t="shared" si="25"/>
        <v>863.59999999999991</v>
      </c>
      <c r="K236" s="1026">
        <f t="shared" si="26"/>
        <v>54.101999999999997</v>
      </c>
      <c r="L236" s="1085">
        <f t="shared" si="27"/>
        <v>141.22399999999999</v>
      </c>
    </row>
    <row r="237" spans="2:12" x14ac:dyDescent="0.2">
      <c r="B237" s="990"/>
      <c r="C237" s="1082">
        <v>0.5</v>
      </c>
      <c r="D237" s="415">
        <v>34</v>
      </c>
      <c r="E237" s="1077">
        <v>2.13</v>
      </c>
      <c r="F237" s="1077">
        <v>5.5</v>
      </c>
      <c r="H237" s="1059">
        <v>34</v>
      </c>
      <c r="I237" s="1086">
        <f t="shared" si="24"/>
        <v>12.7</v>
      </c>
      <c r="J237" s="1027">
        <f t="shared" si="25"/>
        <v>863.59999999999991</v>
      </c>
      <c r="K237" s="1027">
        <f t="shared" si="26"/>
        <v>54.101999999999997</v>
      </c>
      <c r="L237" s="1087">
        <f t="shared" si="27"/>
        <v>139.69999999999999</v>
      </c>
    </row>
    <row r="238" spans="2:12" x14ac:dyDescent="0.2">
      <c r="B238" s="990"/>
      <c r="C238" s="1082">
        <v>0.63</v>
      </c>
      <c r="D238" s="415">
        <v>30</v>
      </c>
      <c r="E238" s="1077">
        <v>2.13</v>
      </c>
      <c r="F238" s="1077">
        <v>6</v>
      </c>
      <c r="H238" s="1064">
        <v>864</v>
      </c>
      <c r="I238" s="1086">
        <f t="shared" si="24"/>
        <v>16.001999999999999</v>
      </c>
      <c r="J238" s="1027">
        <f t="shared" si="25"/>
        <v>762</v>
      </c>
      <c r="K238" s="1027">
        <f t="shared" si="26"/>
        <v>54.101999999999997</v>
      </c>
      <c r="L238" s="1087">
        <f t="shared" si="27"/>
        <v>152.39999999999998</v>
      </c>
    </row>
    <row r="239" spans="2:12" ht="13.5" thickBot="1" x14ac:dyDescent="0.25">
      <c r="B239" s="974"/>
      <c r="C239" s="1083">
        <v>0.75</v>
      </c>
      <c r="D239" s="1079">
        <v>30</v>
      </c>
      <c r="E239" s="1080">
        <v>2.25</v>
      </c>
      <c r="F239" s="1080">
        <v>6.06</v>
      </c>
      <c r="H239" s="974"/>
      <c r="I239" s="1088">
        <f t="shared" si="24"/>
        <v>19.049999999999997</v>
      </c>
      <c r="J239" s="1089">
        <f t="shared" si="25"/>
        <v>762</v>
      </c>
      <c r="K239" s="1089">
        <f t="shared" si="26"/>
        <v>57.15</v>
      </c>
      <c r="L239" s="1090">
        <f t="shared" si="27"/>
        <v>153.92399999999998</v>
      </c>
    </row>
    <row r="240" spans="2:12" ht="13.5" thickTop="1" x14ac:dyDescent="0.2">
      <c r="B240" s="973"/>
      <c r="C240" s="1081">
        <v>0.38</v>
      </c>
      <c r="D240" s="1057">
        <v>36</v>
      </c>
      <c r="E240" s="1075">
        <v>2.25</v>
      </c>
      <c r="F240" s="1075">
        <v>5.94</v>
      </c>
      <c r="H240" s="973"/>
      <c r="I240" s="1084">
        <f t="shared" si="24"/>
        <v>9.6519999999999992</v>
      </c>
      <c r="J240" s="1026">
        <f t="shared" si="25"/>
        <v>914.4</v>
      </c>
      <c r="K240" s="1026">
        <f t="shared" si="26"/>
        <v>57.15</v>
      </c>
      <c r="L240" s="1085">
        <f t="shared" si="27"/>
        <v>150.876</v>
      </c>
    </row>
    <row r="241" spans="2:12" x14ac:dyDescent="0.2">
      <c r="B241" s="990"/>
      <c r="C241" s="1082">
        <v>0.5</v>
      </c>
      <c r="D241" s="415">
        <v>36</v>
      </c>
      <c r="E241" s="1077">
        <v>2.25</v>
      </c>
      <c r="F241" s="1077">
        <v>5.88</v>
      </c>
      <c r="H241" s="1059" t="s">
        <v>312</v>
      </c>
      <c r="I241" s="1086">
        <f t="shared" si="24"/>
        <v>12.7</v>
      </c>
      <c r="J241" s="1027">
        <f t="shared" si="25"/>
        <v>914.4</v>
      </c>
      <c r="K241" s="1027">
        <f t="shared" si="26"/>
        <v>57.15</v>
      </c>
      <c r="L241" s="1087">
        <f t="shared" si="27"/>
        <v>149.35199999999998</v>
      </c>
    </row>
    <row r="242" spans="2:12" x14ac:dyDescent="0.2">
      <c r="B242" s="990"/>
      <c r="C242" s="1082">
        <v>0.63</v>
      </c>
      <c r="D242" s="415">
        <v>36</v>
      </c>
      <c r="E242" s="1077">
        <v>2.25</v>
      </c>
      <c r="F242" s="1077">
        <v>5.81</v>
      </c>
      <c r="H242" s="1065">
        <f>36*25.4</f>
        <v>914.4</v>
      </c>
      <c r="I242" s="1086">
        <f t="shared" si="24"/>
        <v>16.001999999999999</v>
      </c>
      <c r="J242" s="1027">
        <f t="shared" si="25"/>
        <v>914.4</v>
      </c>
      <c r="K242" s="1027">
        <f t="shared" si="26"/>
        <v>57.15</v>
      </c>
      <c r="L242" s="1087">
        <f t="shared" si="27"/>
        <v>147.57399999999998</v>
      </c>
    </row>
    <row r="243" spans="2:12" ht="13.5" thickBot="1" x14ac:dyDescent="0.25">
      <c r="B243" s="974"/>
      <c r="C243" s="1083">
        <v>0.75</v>
      </c>
      <c r="D243" s="1079">
        <v>36</v>
      </c>
      <c r="E243" s="1080">
        <v>2.25</v>
      </c>
      <c r="F243" s="1080">
        <v>5.75</v>
      </c>
      <c r="H243" s="974"/>
      <c r="I243" s="1088">
        <f t="shared" si="24"/>
        <v>19.049999999999997</v>
      </c>
      <c r="J243" s="1089">
        <f t="shared" si="25"/>
        <v>914.4</v>
      </c>
      <c r="K243" s="1089">
        <f t="shared" si="26"/>
        <v>57.15</v>
      </c>
      <c r="L243" s="1090">
        <f t="shared" si="27"/>
        <v>146.04999999999998</v>
      </c>
    </row>
    <row r="244" spans="2:12" ht="14.25" thickTop="1" thickBot="1" x14ac:dyDescent="0.25">
      <c r="B244" s="1063" t="s">
        <v>298</v>
      </c>
      <c r="C244" s="1063" t="s">
        <v>317</v>
      </c>
      <c r="D244" s="1063" t="s">
        <v>299</v>
      </c>
      <c r="E244" s="1063" t="s">
        <v>300</v>
      </c>
      <c r="F244" s="1063" t="s">
        <v>301</v>
      </c>
      <c r="G244" s="398" t="s">
        <v>345</v>
      </c>
      <c r="H244" s="1063" t="s">
        <v>298</v>
      </c>
      <c r="I244" s="1063" t="s">
        <v>318</v>
      </c>
      <c r="J244" s="1063" t="s">
        <v>307</v>
      </c>
      <c r="K244" s="1063" t="s">
        <v>308</v>
      </c>
      <c r="L244" s="1063" t="s">
        <v>309</v>
      </c>
    </row>
    <row r="245" spans="2:12" ht="13.5" thickTop="1" x14ac:dyDescent="0.2">
      <c r="B245" s="973"/>
      <c r="C245" s="1074">
        <v>0.38</v>
      </c>
      <c r="D245" s="1057">
        <v>36</v>
      </c>
      <c r="E245" s="1075">
        <v>2.38</v>
      </c>
      <c r="F245" s="1075">
        <v>6.5</v>
      </c>
      <c r="H245" s="973"/>
      <c r="I245" s="1084">
        <f t="shared" ref="I245:I268" si="28">C245*25.4</f>
        <v>9.6519999999999992</v>
      </c>
      <c r="J245" s="1026">
        <f t="shared" ref="J245:J268" si="29">D245*25.4</f>
        <v>914.4</v>
      </c>
      <c r="K245" s="1026">
        <f t="shared" ref="K245:K268" si="30">E245*25.4</f>
        <v>60.451999999999991</v>
      </c>
      <c r="L245" s="1085">
        <f t="shared" ref="L245:L268" si="31">F245*25.4</f>
        <v>165.1</v>
      </c>
    </row>
    <row r="246" spans="2:12" x14ac:dyDescent="0.2">
      <c r="B246" s="990"/>
      <c r="C246" s="1076">
        <v>0.5</v>
      </c>
      <c r="D246" s="415">
        <v>36</v>
      </c>
      <c r="E246" s="1077">
        <v>2.38</v>
      </c>
      <c r="F246" s="1077">
        <v>6.44</v>
      </c>
      <c r="H246" s="1059" t="s">
        <v>313</v>
      </c>
      <c r="I246" s="1086">
        <f t="shared" si="28"/>
        <v>12.7</v>
      </c>
      <c r="J246" s="1027">
        <f t="shared" si="29"/>
        <v>914.4</v>
      </c>
      <c r="K246" s="1027">
        <f t="shared" si="30"/>
        <v>60.451999999999991</v>
      </c>
      <c r="L246" s="1087">
        <f t="shared" si="31"/>
        <v>163.57599999999999</v>
      </c>
    </row>
    <row r="247" spans="2:12" x14ac:dyDescent="0.2">
      <c r="B247" s="990"/>
      <c r="C247" s="1076">
        <v>0.63</v>
      </c>
      <c r="D247" s="415">
        <v>36</v>
      </c>
      <c r="E247" s="1077">
        <v>2.38</v>
      </c>
      <c r="F247" s="1077">
        <v>6.38</v>
      </c>
      <c r="H247" s="1065">
        <f>38*25.4</f>
        <v>965.19999999999993</v>
      </c>
      <c r="I247" s="1086">
        <f t="shared" si="28"/>
        <v>16.001999999999999</v>
      </c>
      <c r="J247" s="1027">
        <f t="shared" si="29"/>
        <v>914.4</v>
      </c>
      <c r="K247" s="1027">
        <f t="shared" si="30"/>
        <v>60.451999999999991</v>
      </c>
      <c r="L247" s="1087">
        <f t="shared" si="31"/>
        <v>162.05199999999999</v>
      </c>
    </row>
    <row r="248" spans="2:12" ht="13.5" thickBot="1" x14ac:dyDescent="0.25">
      <c r="B248" s="974"/>
      <c r="C248" s="1078">
        <v>0.75</v>
      </c>
      <c r="D248" s="1079">
        <v>36</v>
      </c>
      <c r="E248" s="1080">
        <v>2.38</v>
      </c>
      <c r="F248" s="1080">
        <v>6.38</v>
      </c>
      <c r="H248" s="974"/>
      <c r="I248" s="1088">
        <f t="shared" si="28"/>
        <v>19.049999999999997</v>
      </c>
      <c r="J248" s="1089">
        <f t="shared" si="29"/>
        <v>914.4</v>
      </c>
      <c r="K248" s="1089">
        <f t="shared" si="30"/>
        <v>60.451999999999991</v>
      </c>
      <c r="L248" s="1090">
        <f t="shared" si="31"/>
        <v>162.05199999999999</v>
      </c>
    </row>
    <row r="249" spans="2:12" ht="13.5" thickTop="1" x14ac:dyDescent="0.2">
      <c r="B249" s="973"/>
      <c r="C249" s="1081">
        <v>0.38</v>
      </c>
      <c r="D249" s="1057">
        <v>40</v>
      </c>
      <c r="E249" s="1075">
        <v>2.5</v>
      </c>
      <c r="F249" s="1075">
        <v>6.63</v>
      </c>
      <c r="H249" s="973"/>
      <c r="I249" s="1084">
        <f t="shared" si="28"/>
        <v>9.6519999999999992</v>
      </c>
      <c r="J249" s="1026">
        <f t="shared" si="29"/>
        <v>1016</v>
      </c>
      <c r="K249" s="1026">
        <f t="shared" si="30"/>
        <v>63.5</v>
      </c>
      <c r="L249" s="1085">
        <f t="shared" si="31"/>
        <v>168.40199999999999</v>
      </c>
    </row>
    <row r="250" spans="2:12" x14ac:dyDescent="0.2">
      <c r="B250" s="990"/>
      <c r="C250" s="1082">
        <v>0.5</v>
      </c>
      <c r="D250" s="415">
        <v>40</v>
      </c>
      <c r="E250" s="1077">
        <v>2.5</v>
      </c>
      <c r="F250" s="1077">
        <v>6.56</v>
      </c>
      <c r="H250" s="1059" t="s">
        <v>314</v>
      </c>
      <c r="I250" s="1086">
        <f t="shared" si="28"/>
        <v>12.7</v>
      </c>
      <c r="J250" s="1027">
        <f t="shared" si="29"/>
        <v>1016</v>
      </c>
      <c r="K250" s="1027">
        <f t="shared" si="30"/>
        <v>63.5</v>
      </c>
      <c r="L250" s="1087">
        <f t="shared" si="31"/>
        <v>166.62399999999997</v>
      </c>
    </row>
    <row r="251" spans="2:12" x14ac:dyDescent="0.2">
      <c r="B251" s="990"/>
      <c r="C251" s="1082">
        <v>0.63</v>
      </c>
      <c r="D251" s="415">
        <v>36</v>
      </c>
      <c r="E251" s="1077">
        <v>2.5</v>
      </c>
      <c r="F251" s="1077">
        <v>6.94</v>
      </c>
      <c r="H251" s="1066">
        <f>40*25.4</f>
        <v>1016</v>
      </c>
      <c r="I251" s="1086">
        <f t="shared" si="28"/>
        <v>16.001999999999999</v>
      </c>
      <c r="J251" s="1027">
        <f t="shared" si="29"/>
        <v>914.4</v>
      </c>
      <c r="K251" s="1027">
        <f t="shared" si="30"/>
        <v>63.5</v>
      </c>
      <c r="L251" s="1087">
        <f t="shared" si="31"/>
        <v>176.27600000000001</v>
      </c>
    </row>
    <row r="252" spans="2:12" ht="13.5" thickBot="1" x14ac:dyDescent="0.25">
      <c r="B252" s="974"/>
      <c r="C252" s="1083">
        <v>0.75</v>
      </c>
      <c r="D252" s="1079">
        <v>36</v>
      </c>
      <c r="E252" s="1080">
        <v>2.5</v>
      </c>
      <c r="F252" s="1080">
        <v>7</v>
      </c>
      <c r="H252" s="974"/>
      <c r="I252" s="1088">
        <f t="shared" si="28"/>
        <v>19.049999999999997</v>
      </c>
      <c r="J252" s="1089">
        <f t="shared" si="29"/>
        <v>914.4</v>
      </c>
      <c r="K252" s="1089">
        <f t="shared" si="30"/>
        <v>63.5</v>
      </c>
      <c r="L252" s="1090">
        <f t="shared" si="31"/>
        <v>177.79999999999998</v>
      </c>
    </row>
    <row r="253" spans="2:12" ht="13.5" thickTop="1" x14ac:dyDescent="0.2">
      <c r="B253" s="973"/>
      <c r="C253" s="1081">
        <v>0.38</v>
      </c>
      <c r="D253" s="1057">
        <v>40</v>
      </c>
      <c r="E253" s="1075">
        <v>2.63</v>
      </c>
      <c r="F253" s="1075">
        <v>7.19</v>
      </c>
      <c r="H253" s="973"/>
      <c r="I253" s="1084">
        <f t="shared" si="28"/>
        <v>9.6519999999999992</v>
      </c>
      <c r="J253" s="1026">
        <f t="shared" si="29"/>
        <v>1016</v>
      </c>
      <c r="K253" s="1026">
        <f t="shared" si="30"/>
        <v>66.801999999999992</v>
      </c>
      <c r="L253" s="1085">
        <f t="shared" si="31"/>
        <v>182.626</v>
      </c>
    </row>
    <row r="254" spans="2:12" x14ac:dyDescent="0.2">
      <c r="B254" s="990"/>
      <c r="C254" s="1082">
        <v>0.5</v>
      </c>
      <c r="D254" s="415">
        <v>40</v>
      </c>
      <c r="E254" s="1077">
        <v>2.63</v>
      </c>
      <c r="F254" s="1077">
        <v>7.13</v>
      </c>
      <c r="H254" s="1059" t="s">
        <v>315</v>
      </c>
      <c r="I254" s="1086">
        <f t="shared" si="28"/>
        <v>12.7</v>
      </c>
      <c r="J254" s="1027">
        <f t="shared" si="29"/>
        <v>1016</v>
      </c>
      <c r="K254" s="1027">
        <f t="shared" si="30"/>
        <v>66.801999999999992</v>
      </c>
      <c r="L254" s="1087">
        <f t="shared" si="31"/>
        <v>181.10199999999998</v>
      </c>
    </row>
    <row r="255" spans="2:12" x14ac:dyDescent="0.2">
      <c r="B255" s="990"/>
      <c r="C255" s="1082">
        <v>0.63</v>
      </c>
      <c r="D255" s="415">
        <v>40</v>
      </c>
      <c r="E255" s="1077">
        <v>2.63</v>
      </c>
      <c r="F255" s="1077">
        <v>7.06</v>
      </c>
      <c r="H255" s="1066">
        <f>42*25.4</f>
        <v>1066.8</v>
      </c>
      <c r="I255" s="1086">
        <f t="shared" si="28"/>
        <v>16.001999999999999</v>
      </c>
      <c r="J255" s="1027">
        <f t="shared" si="29"/>
        <v>1016</v>
      </c>
      <c r="K255" s="1027">
        <f t="shared" si="30"/>
        <v>66.801999999999992</v>
      </c>
      <c r="L255" s="1087">
        <f t="shared" si="31"/>
        <v>179.32399999999998</v>
      </c>
    </row>
    <row r="256" spans="2:12" ht="13.5" thickBot="1" x14ac:dyDescent="0.25">
      <c r="B256" s="974"/>
      <c r="C256" s="1083">
        <v>0.75</v>
      </c>
      <c r="D256" s="1079">
        <v>40</v>
      </c>
      <c r="E256" s="1080">
        <v>2.63</v>
      </c>
      <c r="F256" s="1080">
        <v>7</v>
      </c>
      <c r="H256" s="974"/>
      <c r="I256" s="1088">
        <f t="shared" si="28"/>
        <v>19.049999999999997</v>
      </c>
      <c r="J256" s="1089">
        <f t="shared" si="29"/>
        <v>1016</v>
      </c>
      <c r="K256" s="1089">
        <f t="shared" si="30"/>
        <v>66.801999999999992</v>
      </c>
      <c r="L256" s="1090">
        <f t="shared" si="31"/>
        <v>177.79999999999998</v>
      </c>
    </row>
    <row r="257" spans="2:12" ht="13.5" thickTop="1" x14ac:dyDescent="0.2">
      <c r="B257" s="973"/>
      <c r="C257" s="1081">
        <v>0.38</v>
      </c>
      <c r="D257" s="1057">
        <v>42</v>
      </c>
      <c r="E257" s="1075">
        <v>3</v>
      </c>
      <c r="F257" s="1075">
        <v>8</v>
      </c>
      <c r="H257" s="973"/>
      <c r="I257" s="1084">
        <f t="shared" si="28"/>
        <v>9.6519999999999992</v>
      </c>
      <c r="J257" s="1026">
        <f t="shared" si="29"/>
        <v>1066.8</v>
      </c>
      <c r="K257" s="1026">
        <f t="shared" si="30"/>
        <v>76.199999999999989</v>
      </c>
      <c r="L257" s="1085">
        <f t="shared" si="31"/>
        <v>203.2</v>
      </c>
    </row>
    <row r="258" spans="2:12" x14ac:dyDescent="0.2">
      <c r="B258" s="990"/>
      <c r="C258" s="1082">
        <v>0.5</v>
      </c>
      <c r="D258" s="415">
        <v>42</v>
      </c>
      <c r="E258" s="1077">
        <v>3</v>
      </c>
      <c r="F258" s="1077">
        <v>8.75</v>
      </c>
      <c r="H258" s="1059" t="s">
        <v>315</v>
      </c>
      <c r="I258" s="1086">
        <f t="shared" si="28"/>
        <v>12.7</v>
      </c>
      <c r="J258" s="1027">
        <f t="shared" si="29"/>
        <v>1066.8</v>
      </c>
      <c r="K258" s="1027">
        <f t="shared" si="30"/>
        <v>76.199999999999989</v>
      </c>
      <c r="L258" s="1087">
        <f t="shared" si="31"/>
        <v>222.25</v>
      </c>
    </row>
    <row r="259" spans="2:12" x14ac:dyDescent="0.2">
      <c r="B259" s="990"/>
      <c r="C259" s="1082">
        <v>0.63</v>
      </c>
      <c r="D259" s="415">
        <v>42</v>
      </c>
      <c r="E259" s="1077">
        <v>3</v>
      </c>
      <c r="F259" s="1077">
        <v>8.69</v>
      </c>
      <c r="H259" s="1066">
        <f>48*25.4</f>
        <v>1219.1999999999998</v>
      </c>
      <c r="I259" s="1086">
        <f t="shared" si="28"/>
        <v>16.001999999999999</v>
      </c>
      <c r="J259" s="1027">
        <f t="shared" si="29"/>
        <v>1066.8</v>
      </c>
      <c r="K259" s="1027">
        <f t="shared" si="30"/>
        <v>76.199999999999989</v>
      </c>
      <c r="L259" s="1087">
        <f t="shared" si="31"/>
        <v>220.72599999999997</v>
      </c>
    </row>
    <row r="260" spans="2:12" ht="13.5" thickBot="1" x14ac:dyDescent="0.25">
      <c r="B260" s="974"/>
      <c r="C260" s="1083">
        <v>0.75</v>
      </c>
      <c r="D260" s="1079">
        <v>42</v>
      </c>
      <c r="E260" s="1080">
        <v>3</v>
      </c>
      <c r="F260" s="1080">
        <v>8.6300000000000008</v>
      </c>
      <c r="H260" s="974"/>
      <c r="I260" s="1088">
        <f t="shared" si="28"/>
        <v>19.049999999999997</v>
      </c>
      <c r="J260" s="1089">
        <f t="shared" si="29"/>
        <v>1066.8</v>
      </c>
      <c r="K260" s="1089">
        <f t="shared" si="30"/>
        <v>76.199999999999989</v>
      </c>
      <c r="L260" s="1090">
        <f t="shared" si="31"/>
        <v>219.202</v>
      </c>
    </row>
    <row r="261" spans="2:12" ht="13.5" thickTop="1" x14ac:dyDescent="0.2">
      <c r="B261" s="973"/>
      <c r="C261" s="1081">
        <v>0.38</v>
      </c>
      <c r="D261" s="1057">
        <v>54</v>
      </c>
      <c r="E261" s="1075">
        <v>3.25</v>
      </c>
      <c r="F261" s="1075">
        <v>8.94</v>
      </c>
      <c r="H261" s="973"/>
      <c r="I261" s="1084">
        <f t="shared" si="28"/>
        <v>9.6519999999999992</v>
      </c>
      <c r="J261" s="1026">
        <f t="shared" si="29"/>
        <v>1371.6</v>
      </c>
      <c r="K261" s="1026">
        <f t="shared" si="30"/>
        <v>82.55</v>
      </c>
      <c r="L261" s="1085">
        <f t="shared" si="31"/>
        <v>227.07599999999996</v>
      </c>
    </row>
    <row r="262" spans="2:12" x14ac:dyDescent="0.2">
      <c r="B262" s="990"/>
      <c r="C262" s="1082">
        <v>0.5</v>
      </c>
      <c r="D262" s="415">
        <v>48</v>
      </c>
      <c r="E262" s="1077">
        <v>3.25</v>
      </c>
      <c r="F262" s="1077">
        <v>9.75</v>
      </c>
      <c r="H262" s="1059" t="s">
        <v>319</v>
      </c>
      <c r="I262" s="1086">
        <f t="shared" si="28"/>
        <v>12.7</v>
      </c>
      <c r="J262" s="1027">
        <f t="shared" si="29"/>
        <v>1219.1999999999998</v>
      </c>
      <c r="K262" s="1027">
        <f t="shared" si="30"/>
        <v>82.55</v>
      </c>
      <c r="L262" s="1087">
        <f t="shared" si="31"/>
        <v>247.64999999999998</v>
      </c>
    </row>
    <row r="263" spans="2:12" x14ac:dyDescent="0.2">
      <c r="B263" s="990"/>
      <c r="C263" s="1082">
        <v>0.63</v>
      </c>
      <c r="D263" s="415">
        <v>48</v>
      </c>
      <c r="E263" s="1077">
        <v>3.25</v>
      </c>
      <c r="F263" s="1077">
        <v>9.75</v>
      </c>
      <c r="H263" s="1066">
        <f>54*25.4</f>
        <v>1371.6</v>
      </c>
      <c r="I263" s="1086">
        <f t="shared" si="28"/>
        <v>16.001999999999999</v>
      </c>
      <c r="J263" s="1027">
        <f t="shared" si="29"/>
        <v>1219.1999999999998</v>
      </c>
      <c r="K263" s="1027">
        <f t="shared" si="30"/>
        <v>82.55</v>
      </c>
      <c r="L263" s="1087">
        <f t="shared" si="31"/>
        <v>247.64999999999998</v>
      </c>
    </row>
    <row r="264" spans="2:12" ht="13.5" thickBot="1" x14ac:dyDescent="0.25">
      <c r="B264" s="974"/>
      <c r="C264" s="1083">
        <v>0.75</v>
      </c>
      <c r="D264" s="1079">
        <v>48</v>
      </c>
      <c r="E264" s="1080">
        <v>3.25</v>
      </c>
      <c r="F264" s="1080">
        <v>9.6300000000000008</v>
      </c>
      <c r="H264" s="974"/>
      <c r="I264" s="1088">
        <f t="shared" si="28"/>
        <v>19.049999999999997</v>
      </c>
      <c r="J264" s="1089">
        <f t="shared" si="29"/>
        <v>1219.1999999999998</v>
      </c>
      <c r="K264" s="1089">
        <f t="shared" si="30"/>
        <v>82.55</v>
      </c>
      <c r="L264" s="1090">
        <f t="shared" si="31"/>
        <v>244.602</v>
      </c>
    </row>
    <row r="265" spans="2:12" ht="13.5" thickTop="1" x14ac:dyDescent="0.2">
      <c r="B265" s="973"/>
      <c r="C265" s="1081">
        <v>0.38</v>
      </c>
      <c r="D265" s="1057">
        <v>60</v>
      </c>
      <c r="E265" s="1075">
        <v>3.63</v>
      </c>
      <c r="F265" s="1075">
        <v>10</v>
      </c>
      <c r="H265" s="973"/>
      <c r="I265" s="1084">
        <f t="shared" si="28"/>
        <v>9.6519999999999992</v>
      </c>
      <c r="J265" s="1026">
        <f t="shared" si="29"/>
        <v>1524</v>
      </c>
      <c r="K265" s="1026">
        <f t="shared" si="30"/>
        <v>92.201999999999998</v>
      </c>
      <c r="L265" s="1085">
        <f t="shared" si="31"/>
        <v>254</v>
      </c>
    </row>
    <row r="266" spans="2:12" x14ac:dyDescent="0.2">
      <c r="B266" s="990"/>
      <c r="C266" s="1082">
        <v>0.5</v>
      </c>
      <c r="D266" s="415">
        <v>60</v>
      </c>
      <c r="E266" s="1077">
        <v>3.63</v>
      </c>
      <c r="F266" s="1077">
        <v>9.8800000000000008</v>
      </c>
      <c r="H266" s="1059" t="s">
        <v>316</v>
      </c>
      <c r="I266" s="1086">
        <f t="shared" si="28"/>
        <v>12.7</v>
      </c>
      <c r="J266" s="1027">
        <f t="shared" si="29"/>
        <v>1524</v>
      </c>
      <c r="K266" s="1027">
        <f t="shared" si="30"/>
        <v>92.201999999999998</v>
      </c>
      <c r="L266" s="1087">
        <f t="shared" si="31"/>
        <v>250.952</v>
      </c>
    </row>
    <row r="267" spans="2:12" x14ac:dyDescent="0.2">
      <c r="B267" s="990"/>
      <c r="C267" s="1082">
        <v>0.63</v>
      </c>
      <c r="D267" s="415">
        <v>54</v>
      </c>
      <c r="E267" s="1077">
        <v>3.63</v>
      </c>
      <c r="F267" s="1077">
        <v>10.69</v>
      </c>
      <c r="H267" s="1066">
        <f>60*25.4</f>
        <v>1524</v>
      </c>
      <c r="I267" s="1086">
        <f t="shared" si="28"/>
        <v>16.001999999999999</v>
      </c>
      <c r="J267" s="1027">
        <f t="shared" si="29"/>
        <v>1371.6</v>
      </c>
      <c r="K267" s="1027">
        <f t="shared" si="30"/>
        <v>92.201999999999998</v>
      </c>
      <c r="L267" s="1087">
        <f t="shared" si="31"/>
        <v>271.52599999999995</v>
      </c>
    </row>
    <row r="268" spans="2:12" ht="13.5" thickBot="1" x14ac:dyDescent="0.25">
      <c r="B268" s="974"/>
      <c r="C268" s="1083">
        <v>0.75</v>
      </c>
      <c r="D268" s="1079">
        <v>54</v>
      </c>
      <c r="E268" s="1080">
        <v>3.63</v>
      </c>
      <c r="F268" s="1080">
        <v>10.63</v>
      </c>
      <c r="H268" s="974"/>
      <c r="I268" s="1088">
        <f t="shared" si="28"/>
        <v>19.049999999999997</v>
      </c>
      <c r="J268" s="1089">
        <f t="shared" si="29"/>
        <v>1371.6</v>
      </c>
      <c r="K268" s="1089">
        <f t="shared" si="30"/>
        <v>92.201999999999998</v>
      </c>
      <c r="L268" s="1090">
        <f t="shared" si="31"/>
        <v>270.00200000000001</v>
      </c>
    </row>
    <row r="269" spans="2:12" ht="14.25" thickTop="1" thickBot="1" x14ac:dyDescent="0.25">
      <c r="B269" s="1063" t="s">
        <v>298</v>
      </c>
      <c r="C269" s="1063" t="s">
        <v>317</v>
      </c>
      <c r="D269" s="1063" t="s">
        <v>299</v>
      </c>
      <c r="E269" s="1063" t="s">
        <v>300</v>
      </c>
      <c r="F269" s="1063" t="s">
        <v>301</v>
      </c>
      <c r="G269" s="398" t="s">
        <v>345</v>
      </c>
      <c r="H269" s="1063" t="s">
        <v>298</v>
      </c>
      <c r="I269" s="1063" t="s">
        <v>318</v>
      </c>
      <c r="J269" s="1063" t="s">
        <v>307</v>
      </c>
      <c r="K269" s="1063" t="s">
        <v>308</v>
      </c>
      <c r="L269" s="1063" t="s">
        <v>309</v>
      </c>
    </row>
    <row r="270" spans="2:12" ht="13.5" thickTop="1" x14ac:dyDescent="0.2">
      <c r="B270" s="973"/>
      <c r="C270" s="1074">
        <v>0.38</v>
      </c>
      <c r="D270" s="1057">
        <v>66</v>
      </c>
      <c r="E270" s="1075">
        <v>4</v>
      </c>
      <c r="F270" s="1075">
        <v>11</v>
      </c>
      <c r="H270" s="973"/>
      <c r="I270" s="1084">
        <f t="shared" ref="I270:I293" si="32">C270*25.4</f>
        <v>9.6519999999999992</v>
      </c>
      <c r="J270" s="1026">
        <f t="shared" ref="J270:J293" si="33">D270*25.4</f>
        <v>1676.3999999999999</v>
      </c>
      <c r="K270" s="1026">
        <f t="shared" ref="K270:K293" si="34">E270*25.4</f>
        <v>101.6</v>
      </c>
      <c r="L270" s="1085">
        <f t="shared" ref="L270:L293" si="35">F270*25.4</f>
        <v>279.39999999999998</v>
      </c>
    </row>
    <row r="271" spans="2:12" x14ac:dyDescent="0.2">
      <c r="B271" s="990"/>
      <c r="C271" s="1076">
        <v>0.5</v>
      </c>
      <c r="D271" s="415">
        <v>60</v>
      </c>
      <c r="E271" s="1077">
        <v>4</v>
      </c>
      <c r="F271" s="1077">
        <v>10.94</v>
      </c>
      <c r="H271" s="1059" t="s">
        <v>320</v>
      </c>
      <c r="I271" s="1086">
        <f t="shared" si="32"/>
        <v>12.7</v>
      </c>
      <c r="J271" s="1027">
        <f t="shared" si="33"/>
        <v>1524</v>
      </c>
      <c r="K271" s="1027">
        <f t="shared" si="34"/>
        <v>101.6</v>
      </c>
      <c r="L271" s="1087">
        <f t="shared" si="35"/>
        <v>277.87599999999998</v>
      </c>
    </row>
    <row r="272" spans="2:12" x14ac:dyDescent="0.2">
      <c r="B272" s="990"/>
      <c r="C272" s="1076">
        <v>0.63</v>
      </c>
      <c r="D272" s="415">
        <v>60</v>
      </c>
      <c r="E272" s="1077">
        <v>4</v>
      </c>
      <c r="F272" s="1077">
        <v>11.75</v>
      </c>
      <c r="H272" s="1066">
        <f>66*25.4</f>
        <v>1676.3999999999999</v>
      </c>
      <c r="I272" s="1086">
        <f t="shared" si="32"/>
        <v>16.001999999999999</v>
      </c>
      <c r="J272" s="1027">
        <f t="shared" si="33"/>
        <v>1524</v>
      </c>
      <c r="K272" s="1027">
        <f t="shared" si="34"/>
        <v>101.6</v>
      </c>
      <c r="L272" s="1087">
        <f t="shared" si="35"/>
        <v>298.45</v>
      </c>
    </row>
    <row r="273" spans="2:12" ht="13.5" thickBot="1" x14ac:dyDescent="0.25">
      <c r="B273" s="974"/>
      <c r="C273" s="1078">
        <v>0.75</v>
      </c>
      <c r="D273" s="1079">
        <v>60</v>
      </c>
      <c r="E273" s="1080">
        <v>4</v>
      </c>
      <c r="F273" s="1080">
        <v>11.63</v>
      </c>
      <c r="H273" s="974"/>
      <c r="I273" s="1088">
        <f t="shared" si="32"/>
        <v>19.049999999999997</v>
      </c>
      <c r="J273" s="1089">
        <f t="shared" si="33"/>
        <v>1524</v>
      </c>
      <c r="K273" s="1089">
        <f t="shared" si="34"/>
        <v>101.6</v>
      </c>
      <c r="L273" s="1090">
        <f t="shared" si="35"/>
        <v>295.40199999999999</v>
      </c>
    </row>
    <row r="274" spans="2:12" ht="13.5" thickTop="1" x14ac:dyDescent="0.2">
      <c r="B274" s="973"/>
      <c r="C274" s="1081">
        <v>0.38</v>
      </c>
      <c r="D274" s="1057">
        <v>72</v>
      </c>
      <c r="E274" s="1075">
        <v>4.38</v>
      </c>
      <c r="F274" s="1075">
        <v>12</v>
      </c>
      <c r="H274" s="973"/>
      <c r="I274" s="1084">
        <f t="shared" si="32"/>
        <v>9.6519999999999992</v>
      </c>
      <c r="J274" s="1026">
        <f t="shared" si="33"/>
        <v>1828.8</v>
      </c>
      <c r="K274" s="1026">
        <f t="shared" si="34"/>
        <v>111.252</v>
      </c>
      <c r="L274" s="1085">
        <f t="shared" si="35"/>
        <v>304.79999999999995</v>
      </c>
    </row>
    <row r="275" spans="2:12" x14ac:dyDescent="0.2">
      <c r="B275" s="990"/>
      <c r="C275" s="1082">
        <v>0.63</v>
      </c>
      <c r="D275" s="415">
        <v>72</v>
      </c>
      <c r="E275" s="1077">
        <v>4.38</v>
      </c>
      <c r="F275" s="1077">
        <v>11.88</v>
      </c>
      <c r="H275" s="1059" t="s">
        <v>321</v>
      </c>
      <c r="I275" s="1086">
        <f t="shared" si="32"/>
        <v>16.001999999999999</v>
      </c>
      <c r="J275" s="1027">
        <f t="shared" si="33"/>
        <v>1828.8</v>
      </c>
      <c r="K275" s="1027">
        <f t="shared" si="34"/>
        <v>111.252</v>
      </c>
      <c r="L275" s="1087">
        <f t="shared" si="35"/>
        <v>301.75200000000001</v>
      </c>
    </row>
    <row r="276" spans="2:12" x14ac:dyDescent="0.2">
      <c r="B276" s="990"/>
      <c r="C276" s="1082">
        <v>0.75</v>
      </c>
      <c r="D276" s="415">
        <v>72</v>
      </c>
      <c r="E276" s="1077">
        <v>4.38</v>
      </c>
      <c r="F276" s="1077">
        <v>11.88</v>
      </c>
      <c r="H276" s="1066">
        <f>72*25.4</f>
        <v>1828.8</v>
      </c>
      <c r="I276" s="1086">
        <f t="shared" si="32"/>
        <v>19.049999999999997</v>
      </c>
      <c r="J276" s="1027">
        <f t="shared" si="33"/>
        <v>1828.8</v>
      </c>
      <c r="K276" s="1027">
        <f t="shared" si="34"/>
        <v>111.252</v>
      </c>
      <c r="L276" s="1087">
        <f t="shared" si="35"/>
        <v>301.75200000000001</v>
      </c>
    </row>
    <row r="277" spans="2:12" ht="13.5" thickBot="1" x14ac:dyDescent="0.25">
      <c r="B277" s="974"/>
      <c r="C277" s="1083">
        <v>0.88</v>
      </c>
      <c r="D277" s="1079">
        <v>66</v>
      </c>
      <c r="E277" s="1080">
        <v>4.38</v>
      </c>
      <c r="F277" s="1080">
        <v>12.63</v>
      </c>
      <c r="H277" s="974"/>
      <c r="I277" s="1088">
        <f t="shared" si="32"/>
        <v>22.352</v>
      </c>
      <c r="J277" s="1089">
        <f t="shared" si="33"/>
        <v>1676.3999999999999</v>
      </c>
      <c r="K277" s="1089">
        <f t="shared" si="34"/>
        <v>111.252</v>
      </c>
      <c r="L277" s="1090">
        <f t="shared" si="35"/>
        <v>320.80200000000002</v>
      </c>
    </row>
    <row r="278" spans="2:12" ht="13.5" thickTop="1" x14ac:dyDescent="0.2">
      <c r="B278" s="973"/>
      <c r="C278" s="1081">
        <v>0.38</v>
      </c>
      <c r="D278" s="1057">
        <v>78</v>
      </c>
      <c r="E278" s="1075">
        <v>4.75</v>
      </c>
      <c r="F278" s="1075">
        <v>13</v>
      </c>
      <c r="H278" s="973"/>
      <c r="I278" s="1084">
        <f t="shared" si="32"/>
        <v>9.6519999999999992</v>
      </c>
      <c r="J278" s="1026">
        <f t="shared" si="33"/>
        <v>1981.1999999999998</v>
      </c>
      <c r="K278" s="1026">
        <f t="shared" si="34"/>
        <v>120.64999999999999</v>
      </c>
      <c r="L278" s="1085">
        <f t="shared" si="35"/>
        <v>330.2</v>
      </c>
    </row>
    <row r="279" spans="2:12" x14ac:dyDescent="0.2">
      <c r="B279" s="990"/>
      <c r="C279" s="1082">
        <v>0.5</v>
      </c>
      <c r="D279" s="415">
        <v>72</v>
      </c>
      <c r="E279" s="1077">
        <v>4.75</v>
      </c>
      <c r="F279" s="1077">
        <v>13.81</v>
      </c>
      <c r="H279" s="1059" t="s">
        <v>322</v>
      </c>
      <c r="I279" s="1086">
        <f t="shared" si="32"/>
        <v>12.7</v>
      </c>
      <c r="J279" s="1027">
        <f t="shared" si="33"/>
        <v>1828.8</v>
      </c>
      <c r="K279" s="1027">
        <f t="shared" si="34"/>
        <v>120.64999999999999</v>
      </c>
      <c r="L279" s="1087">
        <f t="shared" si="35"/>
        <v>350.774</v>
      </c>
    </row>
    <row r="280" spans="2:12" x14ac:dyDescent="0.2">
      <c r="B280" s="990"/>
      <c r="C280" s="1082">
        <v>0.75</v>
      </c>
      <c r="D280" s="415">
        <v>72</v>
      </c>
      <c r="E280" s="1077">
        <v>4.75</v>
      </c>
      <c r="F280" s="1077">
        <v>13.69</v>
      </c>
      <c r="H280" s="1066">
        <f>78*25.4</f>
        <v>1981.1999999999998</v>
      </c>
      <c r="I280" s="1086">
        <f t="shared" si="32"/>
        <v>19.049999999999997</v>
      </c>
      <c r="J280" s="1027">
        <f t="shared" si="33"/>
        <v>1828.8</v>
      </c>
      <c r="K280" s="1027">
        <f t="shared" si="34"/>
        <v>120.64999999999999</v>
      </c>
      <c r="L280" s="1087">
        <f t="shared" si="35"/>
        <v>347.72599999999994</v>
      </c>
    </row>
    <row r="281" spans="2:12" ht="13.5" thickBot="1" x14ac:dyDescent="0.25">
      <c r="B281" s="974"/>
      <c r="C281" s="1083">
        <v>1</v>
      </c>
      <c r="D281" s="1079">
        <v>72</v>
      </c>
      <c r="E281" s="1080">
        <v>4.75</v>
      </c>
      <c r="F281" s="1080">
        <v>13.5</v>
      </c>
      <c r="H281" s="974"/>
      <c r="I281" s="1088">
        <f t="shared" si="32"/>
        <v>25.4</v>
      </c>
      <c r="J281" s="1089">
        <f t="shared" si="33"/>
        <v>1828.8</v>
      </c>
      <c r="K281" s="1089">
        <f t="shared" si="34"/>
        <v>120.64999999999999</v>
      </c>
      <c r="L281" s="1090">
        <f t="shared" si="35"/>
        <v>342.9</v>
      </c>
    </row>
    <row r="282" spans="2:12" ht="13.5" thickTop="1" x14ac:dyDescent="0.2">
      <c r="B282" s="973"/>
      <c r="C282" s="1081">
        <v>0.38</v>
      </c>
      <c r="D282" s="1057">
        <v>84</v>
      </c>
      <c r="E282" s="1075">
        <v>5.13</v>
      </c>
      <c r="F282" s="1075">
        <v>14</v>
      </c>
      <c r="H282" s="973"/>
      <c r="I282" s="1084">
        <f t="shared" si="32"/>
        <v>9.6519999999999992</v>
      </c>
      <c r="J282" s="1026">
        <f t="shared" si="33"/>
        <v>2133.6</v>
      </c>
      <c r="K282" s="1026">
        <f t="shared" si="34"/>
        <v>130.30199999999999</v>
      </c>
      <c r="L282" s="1085">
        <f t="shared" si="35"/>
        <v>355.59999999999997</v>
      </c>
    </row>
    <row r="283" spans="2:12" x14ac:dyDescent="0.2">
      <c r="B283" s="990"/>
      <c r="C283" s="1082">
        <v>0.63</v>
      </c>
      <c r="D283" s="415">
        <v>84</v>
      </c>
      <c r="E283" s="1077">
        <v>5.13</v>
      </c>
      <c r="F283" s="1077">
        <v>13.88</v>
      </c>
      <c r="H283" s="1059" t="s">
        <v>323</v>
      </c>
      <c r="I283" s="1086">
        <f t="shared" si="32"/>
        <v>16.001999999999999</v>
      </c>
      <c r="J283" s="1027">
        <f t="shared" si="33"/>
        <v>2133.6</v>
      </c>
      <c r="K283" s="1027">
        <f t="shared" si="34"/>
        <v>130.30199999999999</v>
      </c>
      <c r="L283" s="1087">
        <f t="shared" si="35"/>
        <v>352.55200000000002</v>
      </c>
    </row>
    <row r="284" spans="2:12" x14ac:dyDescent="0.2">
      <c r="B284" s="990"/>
      <c r="C284" s="1082">
        <v>0.88</v>
      </c>
      <c r="D284" s="415">
        <v>84</v>
      </c>
      <c r="E284" s="1077">
        <v>5.13</v>
      </c>
      <c r="F284" s="1077">
        <v>13.75</v>
      </c>
      <c r="H284" s="1066">
        <f>84*25.4</f>
        <v>2133.6</v>
      </c>
      <c r="I284" s="1086">
        <f t="shared" si="32"/>
        <v>22.352</v>
      </c>
      <c r="J284" s="1027">
        <f t="shared" si="33"/>
        <v>2133.6</v>
      </c>
      <c r="K284" s="1027">
        <f t="shared" si="34"/>
        <v>130.30199999999999</v>
      </c>
      <c r="L284" s="1087">
        <f t="shared" si="35"/>
        <v>349.25</v>
      </c>
    </row>
    <row r="285" spans="2:12" ht="13.5" thickBot="1" x14ac:dyDescent="0.25">
      <c r="B285" s="974"/>
      <c r="C285" s="1083">
        <v>1</v>
      </c>
      <c r="D285" s="1079">
        <v>84</v>
      </c>
      <c r="E285" s="1080">
        <v>5.13</v>
      </c>
      <c r="F285" s="1080">
        <v>13.69</v>
      </c>
      <c r="H285" s="974"/>
      <c r="I285" s="1088">
        <f t="shared" si="32"/>
        <v>25.4</v>
      </c>
      <c r="J285" s="1089">
        <f t="shared" si="33"/>
        <v>2133.6</v>
      </c>
      <c r="K285" s="1089">
        <f t="shared" si="34"/>
        <v>130.30199999999999</v>
      </c>
      <c r="L285" s="1090">
        <f t="shared" si="35"/>
        <v>347.72599999999994</v>
      </c>
    </row>
    <row r="286" spans="2:12" ht="13.5" thickTop="1" x14ac:dyDescent="0.2">
      <c r="B286" s="973"/>
      <c r="C286" s="1081">
        <v>0.38</v>
      </c>
      <c r="D286" s="1057">
        <v>90</v>
      </c>
      <c r="E286" s="1075">
        <v>5.5</v>
      </c>
      <c r="F286" s="1075">
        <v>15.13</v>
      </c>
      <c r="H286" s="973"/>
      <c r="I286" s="1084">
        <f t="shared" si="32"/>
        <v>9.6519999999999992</v>
      </c>
      <c r="J286" s="1026">
        <f t="shared" si="33"/>
        <v>2286</v>
      </c>
      <c r="K286" s="1026">
        <f t="shared" si="34"/>
        <v>139.69999999999999</v>
      </c>
      <c r="L286" s="1085">
        <f t="shared" si="35"/>
        <v>384.30200000000002</v>
      </c>
    </row>
    <row r="287" spans="2:12" x14ac:dyDescent="0.2">
      <c r="B287" s="990"/>
      <c r="C287" s="1082">
        <v>0.5</v>
      </c>
      <c r="D287" s="415">
        <v>84</v>
      </c>
      <c r="E287" s="1077">
        <v>5.5</v>
      </c>
      <c r="F287" s="1077">
        <v>15.81</v>
      </c>
      <c r="H287" s="1059" t="s">
        <v>324</v>
      </c>
      <c r="I287" s="1086">
        <f t="shared" si="32"/>
        <v>12.7</v>
      </c>
      <c r="J287" s="1027">
        <f t="shared" si="33"/>
        <v>2133.6</v>
      </c>
      <c r="K287" s="1027">
        <f t="shared" si="34"/>
        <v>139.69999999999999</v>
      </c>
      <c r="L287" s="1087">
        <f t="shared" si="35"/>
        <v>401.57400000000001</v>
      </c>
    </row>
    <row r="288" spans="2:12" x14ac:dyDescent="0.2">
      <c r="B288" s="990"/>
      <c r="C288" s="1082">
        <v>0.75</v>
      </c>
      <c r="D288" s="415">
        <v>84</v>
      </c>
      <c r="E288" s="1077">
        <v>5.5</v>
      </c>
      <c r="F288" s="1077">
        <v>15.69</v>
      </c>
      <c r="H288" s="1066">
        <f>90*25.4</f>
        <v>2286</v>
      </c>
      <c r="I288" s="1086">
        <f t="shared" si="32"/>
        <v>19.049999999999997</v>
      </c>
      <c r="J288" s="1027">
        <f t="shared" si="33"/>
        <v>2133.6</v>
      </c>
      <c r="K288" s="1027">
        <f t="shared" si="34"/>
        <v>139.69999999999999</v>
      </c>
      <c r="L288" s="1087">
        <f t="shared" si="35"/>
        <v>398.52599999999995</v>
      </c>
    </row>
    <row r="289" spans="2:12" ht="13.5" thickBot="1" x14ac:dyDescent="0.25">
      <c r="B289" s="974"/>
      <c r="C289" s="1083">
        <v>1</v>
      </c>
      <c r="D289" s="1079">
        <v>84</v>
      </c>
      <c r="E289" s="1080">
        <v>5.5</v>
      </c>
      <c r="F289" s="1080">
        <v>15.56</v>
      </c>
      <c r="H289" s="974"/>
      <c r="I289" s="1088">
        <f t="shared" si="32"/>
        <v>25.4</v>
      </c>
      <c r="J289" s="1089">
        <f t="shared" si="33"/>
        <v>2133.6</v>
      </c>
      <c r="K289" s="1089">
        <f t="shared" si="34"/>
        <v>139.69999999999999</v>
      </c>
      <c r="L289" s="1090">
        <f t="shared" si="35"/>
        <v>395.22399999999999</v>
      </c>
    </row>
    <row r="290" spans="2:12" ht="13.5" thickTop="1" x14ac:dyDescent="0.2">
      <c r="B290" s="973"/>
      <c r="C290" s="1081">
        <v>0.38</v>
      </c>
      <c r="D290" s="1057">
        <v>96</v>
      </c>
      <c r="E290" s="1075">
        <v>5.88</v>
      </c>
      <c r="F290" s="1075">
        <v>16.13</v>
      </c>
      <c r="H290" s="973"/>
      <c r="I290" s="1084">
        <f t="shared" si="32"/>
        <v>9.6519999999999992</v>
      </c>
      <c r="J290" s="1026">
        <f t="shared" si="33"/>
        <v>2438.3999999999996</v>
      </c>
      <c r="K290" s="1026">
        <f t="shared" si="34"/>
        <v>149.35199999999998</v>
      </c>
      <c r="L290" s="1085">
        <f t="shared" si="35"/>
        <v>409.70199999999994</v>
      </c>
    </row>
    <row r="291" spans="2:12" x14ac:dyDescent="0.2">
      <c r="B291" s="990"/>
      <c r="C291" s="1082">
        <v>0.5</v>
      </c>
      <c r="D291" s="415">
        <v>90</v>
      </c>
      <c r="E291" s="1077">
        <v>5.88</v>
      </c>
      <c r="F291" s="1077">
        <v>16.88</v>
      </c>
      <c r="H291" s="1059" t="s">
        <v>325</v>
      </c>
      <c r="I291" s="1086">
        <f t="shared" si="32"/>
        <v>12.7</v>
      </c>
      <c r="J291" s="1027">
        <f t="shared" si="33"/>
        <v>2286</v>
      </c>
      <c r="K291" s="1027">
        <f t="shared" si="34"/>
        <v>149.35199999999998</v>
      </c>
      <c r="L291" s="1087">
        <f t="shared" si="35"/>
        <v>428.75199999999995</v>
      </c>
    </row>
    <row r="292" spans="2:12" x14ac:dyDescent="0.2">
      <c r="B292" s="990"/>
      <c r="C292" s="1082">
        <v>0.88</v>
      </c>
      <c r="D292" s="415">
        <v>90</v>
      </c>
      <c r="E292" s="1077">
        <v>5.88</v>
      </c>
      <c r="F292" s="1077">
        <v>16.63</v>
      </c>
      <c r="H292" s="1066">
        <f>96*25.4</f>
        <v>2438.3999999999996</v>
      </c>
      <c r="I292" s="1086">
        <f t="shared" si="32"/>
        <v>22.352</v>
      </c>
      <c r="J292" s="1027">
        <f t="shared" si="33"/>
        <v>2286</v>
      </c>
      <c r="K292" s="1027">
        <f t="shared" si="34"/>
        <v>149.35199999999998</v>
      </c>
      <c r="L292" s="1087">
        <f t="shared" si="35"/>
        <v>422.40199999999993</v>
      </c>
    </row>
    <row r="293" spans="2:12" ht="13.5" thickBot="1" x14ac:dyDescent="0.25">
      <c r="B293" s="974"/>
      <c r="C293" s="1083">
        <v>1.25</v>
      </c>
      <c r="D293" s="1079">
        <v>90</v>
      </c>
      <c r="E293" s="1080">
        <v>5.88</v>
      </c>
      <c r="F293" s="1080">
        <v>16.440000000000001</v>
      </c>
      <c r="H293" s="974"/>
      <c r="I293" s="1088">
        <f t="shared" si="32"/>
        <v>31.75</v>
      </c>
      <c r="J293" s="1089">
        <f t="shared" si="33"/>
        <v>2286</v>
      </c>
      <c r="K293" s="1089">
        <f t="shared" si="34"/>
        <v>149.35199999999998</v>
      </c>
      <c r="L293" s="1090">
        <f t="shared" si="35"/>
        <v>417.57600000000002</v>
      </c>
    </row>
    <row r="294" spans="2:12" ht="14.25" thickTop="1" thickBot="1" x14ac:dyDescent="0.25">
      <c r="B294" s="1063" t="s">
        <v>298</v>
      </c>
      <c r="C294" s="1063" t="s">
        <v>317</v>
      </c>
      <c r="D294" s="1063" t="s">
        <v>299</v>
      </c>
      <c r="E294" s="1063" t="s">
        <v>300</v>
      </c>
      <c r="F294" s="1063" t="s">
        <v>301</v>
      </c>
      <c r="G294" s="398" t="s">
        <v>345</v>
      </c>
      <c r="H294" s="1063" t="s">
        <v>298</v>
      </c>
      <c r="I294" s="1063" t="s">
        <v>318</v>
      </c>
      <c r="J294" s="1063" t="s">
        <v>307</v>
      </c>
      <c r="K294" s="1063" t="s">
        <v>308</v>
      </c>
      <c r="L294" s="1063" t="s">
        <v>309</v>
      </c>
    </row>
    <row r="295" spans="2:12" ht="13.5" thickTop="1" x14ac:dyDescent="0.2">
      <c r="B295" s="973"/>
      <c r="C295" s="1074">
        <v>0.5</v>
      </c>
      <c r="D295" s="1057">
        <v>96</v>
      </c>
      <c r="E295" s="1075">
        <v>6.13</v>
      </c>
      <c r="F295" s="1075">
        <v>17.88</v>
      </c>
      <c r="H295" s="973"/>
      <c r="I295" s="1084">
        <f t="shared" ref="I295:I318" si="36">C295*25.4</f>
        <v>12.7</v>
      </c>
      <c r="J295" s="1026">
        <f t="shared" ref="J295:J318" si="37">D295*25.4</f>
        <v>2438.3999999999996</v>
      </c>
      <c r="K295" s="1026">
        <f t="shared" ref="K295:K318" si="38">E295*25.4</f>
        <v>155.702</v>
      </c>
      <c r="L295" s="1085">
        <f t="shared" ref="L295:L318" si="39">F295*25.4</f>
        <v>454.15199999999993</v>
      </c>
    </row>
    <row r="296" spans="2:12" x14ac:dyDescent="0.2">
      <c r="B296" s="990"/>
      <c r="C296" s="1076">
        <v>0.75</v>
      </c>
      <c r="D296" s="415">
        <v>96</v>
      </c>
      <c r="E296" s="1077">
        <v>6.13</v>
      </c>
      <c r="F296" s="1077">
        <v>17.690000000000001</v>
      </c>
      <c r="H296" s="1059" t="s">
        <v>328</v>
      </c>
      <c r="I296" s="1086">
        <f t="shared" si="36"/>
        <v>19.049999999999997</v>
      </c>
      <c r="J296" s="1027">
        <f t="shared" si="37"/>
        <v>2438.3999999999996</v>
      </c>
      <c r="K296" s="1027">
        <f t="shared" si="38"/>
        <v>155.702</v>
      </c>
      <c r="L296" s="1087">
        <f t="shared" si="39"/>
        <v>449.32600000000002</v>
      </c>
    </row>
    <row r="297" spans="2:12" x14ac:dyDescent="0.2">
      <c r="B297" s="990"/>
      <c r="C297" s="1076">
        <v>1</v>
      </c>
      <c r="D297" s="415">
        <v>96</v>
      </c>
      <c r="E297" s="1077">
        <v>6.13</v>
      </c>
      <c r="F297" s="1077">
        <v>17.559999999999999</v>
      </c>
      <c r="H297" s="1066">
        <f>102*25.4</f>
        <v>2590.7999999999997</v>
      </c>
      <c r="I297" s="1086">
        <f t="shared" si="36"/>
        <v>25.4</v>
      </c>
      <c r="J297" s="1027">
        <f t="shared" si="37"/>
        <v>2438.3999999999996</v>
      </c>
      <c r="K297" s="1027">
        <f t="shared" si="38"/>
        <v>155.702</v>
      </c>
      <c r="L297" s="1087">
        <f t="shared" si="39"/>
        <v>446.02399999999994</v>
      </c>
    </row>
    <row r="298" spans="2:12" ht="13.5" thickBot="1" x14ac:dyDescent="0.25">
      <c r="B298" s="974"/>
      <c r="C298" s="1078">
        <v>1.1299999999999999</v>
      </c>
      <c r="D298" s="1079">
        <v>90</v>
      </c>
      <c r="E298" s="1080">
        <v>6.13</v>
      </c>
      <c r="F298" s="1080">
        <v>18.5</v>
      </c>
      <c r="H298" s="974"/>
      <c r="I298" s="1088">
        <f t="shared" si="36"/>
        <v>28.701999999999995</v>
      </c>
      <c r="J298" s="1089">
        <f t="shared" si="37"/>
        <v>2286</v>
      </c>
      <c r="K298" s="1089">
        <f t="shared" si="38"/>
        <v>155.702</v>
      </c>
      <c r="L298" s="1090">
        <f t="shared" si="39"/>
        <v>469.9</v>
      </c>
    </row>
    <row r="299" spans="2:12" ht="13.5" thickTop="1" x14ac:dyDescent="0.2">
      <c r="B299" s="973"/>
      <c r="C299" s="1081">
        <v>0.5</v>
      </c>
      <c r="D299" s="1057">
        <v>102</v>
      </c>
      <c r="E299" s="1075">
        <v>6.5</v>
      </c>
      <c r="F299" s="1075">
        <v>18.88</v>
      </c>
      <c r="H299" s="973"/>
      <c r="I299" s="1084">
        <f t="shared" si="36"/>
        <v>12.7</v>
      </c>
      <c r="J299" s="1026">
        <f t="shared" si="37"/>
        <v>2590.7999999999997</v>
      </c>
      <c r="K299" s="1026">
        <f t="shared" si="38"/>
        <v>165.1</v>
      </c>
      <c r="L299" s="1085">
        <f t="shared" si="39"/>
        <v>479.55199999999996</v>
      </c>
    </row>
    <row r="300" spans="2:12" x14ac:dyDescent="0.2">
      <c r="B300" s="990"/>
      <c r="C300" s="1082">
        <v>0.75</v>
      </c>
      <c r="D300" s="415">
        <v>102</v>
      </c>
      <c r="E300" s="1077">
        <v>6.5</v>
      </c>
      <c r="F300" s="1077">
        <v>18.75</v>
      </c>
      <c r="H300" s="1059" t="s">
        <v>329</v>
      </c>
      <c r="I300" s="1086">
        <f t="shared" si="36"/>
        <v>19.049999999999997</v>
      </c>
      <c r="J300" s="1027">
        <f t="shared" si="37"/>
        <v>2590.7999999999997</v>
      </c>
      <c r="K300" s="1027">
        <f t="shared" si="38"/>
        <v>165.1</v>
      </c>
      <c r="L300" s="1087">
        <f t="shared" si="39"/>
        <v>476.25</v>
      </c>
    </row>
    <row r="301" spans="2:12" x14ac:dyDescent="0.2">
      <c r="B301" s="990"/>
      <c r="C301" s="1082">
        <v>1</v>
      </c>
      <c r="D301" s="415">
        <v>102</v>
      </c>
      <c r="E301" s="1077">
        <v>6.5</v>
      </c>
      <c r="F301" s="1077">
        <v>18.559999999999999</v>
      </c>
      <c r="H301" s="1066">
        <f>108*25.4</f>
        <v>2743.2</v>
      </c>
      <c r="I301" s="1086">
        <f t="shared" si="36"/>
        <v>25.4</v>
      </c>
      <c r="J301" s="1027">
        <f t="shared" si="37"/>
        <v>2590.7999999999997</v>
      </c>
      <c r="K301" s="1027">
        <f t="shared" si="38"/>
        <v>165.1</v>
      </c>
      <c r="L301" s="1087">
        <f t="shared" si="39"/>
        <v>471.42399999999992</v>
      </c>
    </row>
    <row r="302" spans="2:12" ht="13.5" thickBot="1" x14ac:dyDescent="0.25">
      <c r="B302" s="974"/>
      <c r="C302" s="1083">
        <v>1.1299999999999999</v>
      </c>
      <c r="D302" s="1079">
        <v>96</v>
      </c>
      <c r="E302" s="1080">
        <v>6.5</v>
      </c>
      <c r="F302" s="1080">
        <v>19.440000000000001</v>
      </c>
      <c r="H302" s="974"/>
      <c r="I302" s="1088">
        <f t="shared" si="36"/>
        <v>28.701999999999995</v>
      </c>
      <c r="J302" s="1089">
        <f t="shared" si="37"/>
        <v>2438.3999999999996</v>
      </c>
      <c r="K302" s="1089">
        <f t="shared" si="38"/>
        <v>165.1</v>
      </c>
      <c r="L302" s="1090">
        <f t="shared" si="39"/>
        <v>493.77600000000001</v>
      </c>
    </row>
    <row r="303" spans="2:12" ht="13.5" thickTop="1" x14ac:dyDescent="0.2">
      <c r="B303" s="973"/>
      <c r="C303" s="1081">
        <v>0.5</v>
      </c>
      <c r="D303" s="1057">
        <v>108</v>
      </c>
      <c r="E303" s="1075">
        <v>6.88</v>
      </c>
      <c r="F303" s="1075">
        <v>19.88</v>
      </c>
      <c r="H303" s="973"/>
      <c r="I303" s="1084">
        <f t="shared" si="36"/>
        <v>12.7</v>
      </c>
      <c r="J303" s="1026">
        <f t="shared" si="37"/>
        <v>2743.2</v>
      </c>
      <c r="K303" s="1026">
        <f t="shared" si="38"/>
        <v>174.75199999999998</v>
      </c>
      <c r="L303" s="1085">
        <f t="shared" si="39"/>
        <v>504.95199999999994</v>
      </c>
    </row>
    <row r="304" spans="2:12" x14ac:dyDescent="0.2">
      <c r="B304" s="990"/>
      <c r="C304" s="1082">
        <v>0.75</v>
      </c>
      <c r="D304" s="415">
        <v>108</v>
      </c>
      <c r="E304" s="1077">
        <v>6.88</v>
      </c>
      <c r="F304" s="1077">
        <v>19.75</v>
      </c>
      <c r="H304" s="1059" t="s">
        <v>331</v>
      </c>
      <c r="I304" s="1086">
        <f t="shared" si="36"/>
        <v>19.049999999999997</v>
      </c>
      <c r="J304" s="1027">
        <f t="shared" si="37"/>
        <v>2743.2</v>
      </c>
      <c r="K304" s="1027">
        <f t="shared" si="38"/>
        <v>174.75199999999998</v>
      </c>
      <c r="L304" s="1087">
        <f t="shared" si="39"/>
        <v>501.65</v>
      </c>
    </row>
    <row r="305" spans="2:12" x14ac:dyDescent="0.2">
      <c r="B305" s="990"/>
      <c r="C305" s="1082">
        <v>1</v>
      </c>
      <c r="D305" s="415">
        <v>108</v>
      </c>
      <c r="E305" s="1077">
        <v>6.88</v>
      </c>
      <c r="F305" s="1077">
        <v>19.63</v>
      </c>
      <c r="H305" s="1066">
        <f>114*25.4</f>
        <v>2895.6</v>
      </c>
      <c r="I305" s="1086">
        <f t="shared" si="36"/>
        <v>25.4</v>
      </c>
      <c r="J305" s="1027">
        <f t="shared" si="37"/>
        <v>2743.2</v>
      </c>
      <c r="K305" s="1027">
        <f t="shared" si="38"/>
        <v>174.75199999999998</v>
      </c>
      <c r="L305" s="1087">
        <f t="shared" si="39"/>
        <v>498.60199999999992</v>
      </c>
    </row>
    <row r="306" spans="2:12" ht="13.5" thickBot="1" x14ac:dyDescent="0.25">
      <c r="B306" s="974"/>
      <c r="C306" s="1083">
        <v>1.25</v>
      </c>
      <c r="D306" s="1079">
        <v>108</v>
      </c>
      <c r="E306" s="1080">
        <v>6.88</v>
      </c>
      <c r="F306" s="1080">
        <v>19.5</v>
      </c>
      <c r="H306" s="974"/>
      <c r="I306" s="1088">
        <f t="shared" si="36"/>
        <v>31.75</v>
      </c>
      <c r="J306" s="1089">
        <f t="shared" si="37"/>
        <v>2743.2</v>
      </c>
      <c r="K306" s="1089">
        <f t="shared" si="38"/>
        <v>174.75199999999998</v>
      </c>
      <c r="L306" s="1090">
        <f t="shared" si="39"/>
        <v>495.29999999999995</v>
      </c>
    </row>
    <row r="307" spans="2:12" ht="13.5" thickTop="1" x14ac:dyDescent="0.2">
      <c r="B307" s="973"/>
      <c r="C307" s="1081">
        <v>0.5</v>
      </c>
      <c r="D307" s="1057">
        <v>114</v>
      </c>
      <c r="E307" s="1075">
        <v>7.25</v>
      </c>
      <c r="F307" s="1075">
        <v>20.88</v>
      </c>
      <c r="H307" s="973"/>
      <c r="I307" s="1084">
        <f t="shared" si="36"/>
        <v>12.7</v>
      </c>
      <c r="J307" s="1026">
        <f t="shared" si="37"/>
        <v>2895.6</v>
      </c>
      <c r="K307" s="1026">
        <f t="shared" si="38"/>
        <v>184.14999999999998</v>
      </c>
      <c r="L307" s="1085">
        <f t="shared" si="39"/>
        <v>530.35199999999998</v>
      </c>
    </row>
    <row r="308" spans="2:12" x14ac:dyDescent="0.2">
      <c r="B308" s="990"/>
      <c r="C308" s="1082">
        <v>0.88</v>
      </c>
      <c r="D308" s="415">
        <v>114</v>
      </c>
      <c r="E308" s="1077">
        <v>7.25</v>
      </c>
      <c r="F308" s="1077">
        <v>20.69</v>
      </c>
      <c r="H308" s="1059" t="s">
        <v>330</v>
      </c>
      <c r="I308" s="1086">
        <f t="shared" si="36"/>
        <v>22.352</v>
      </c>
      <c r="J308" s="1027">
        <f t="shared" si="37"/>
        <v>2895.6</v>
      </c>
      <c r="K308" s="1027">
        <f t="shared" si="38"/>
        <v>184.14999999999998</v>
      </c>
      <c r="L308" s="1087">
        <f t="shared" si="39"/>
        <v>525.52599999999995</v>
      </c>
    </row>
    <row r="309" spans="2:12" x14ac:dyDescent="0.2">
      <c r="B309" s="990"/>
      <c r="C309" s="1082">
        <v>1.25</v>
      </c>
      <c r="D309" s="415">
        <v>108</v>
      </c>
      <c r="E309" s="1077">
        <v>7.25</v>
      </c>
      <c r="F309" s="1077">
        <v>21.44</v>
      </c>
      <c r="H309" s="1066">
        <f>120*25.4</f>
        <v>3048</v>
      </c>
      <c r="I309" s="1086">
        <f t="shared" si="36"/>
        <v>31.75</v>
      </c>
      <c r="J309" s="1027">
        <f t="shared" si="37"/>
        <v>2743.2</v>
      </c>
      <c r="K309" s="1027">
        <f t="shared" si="38"/>
        <v>184.14999999999998</v>
      </c>
      <c r="L309" s="1087">
        <f t="shared" si="39"/>
        <v>544.57600000000002</v>
      </c>
    </row>
    <row r="310" spans="2:12" ht="13.5" thickBot="1" x14ac:dyDescent="0.25">
      <c r="B310" s="974"/>
      <c r="C310" s="1083">
        <v>1.63</v>
      </c>
      <c r="D310" s="1079">
        <v>108</v>
      </c>
      <c r="E310" s="1080">
        <v>7.25</v>
      </c>
      <c r="F310" s="1080">
        <v>21.25</v>
      </c>
      <c r="H310" s="974"/>
      <c r="I310" s="1088">
        <f t="shared" si="36"/>
        <v>41.401999999999994</v>
      </c>
      <c r="J310" s="1089">
        <f t="shared" si="37"/>
        <v>2743.2</v>
      </c>
      <c r="K310" s="1089">
        <f t="shared" si="38"/>
        <v>184.14999999999998</v>
      </c>
      <c r="L310" s="1090">
        <f t="shared" si="39"/>
        <v>539.75</v>
      </c>
    </row>
    <row r="311" spans="2:12" ht="13.5" thickTop="1" x14ac:dyDescent="0.2">
      <c r="B311" s="973"/>
      <c r="C311" s="1081">
        <v>0.5</v>
      </c>
      <c r="D311" s="1057">
        <v>120</v>
      </c>
      <c r="E311" s="1075">
        <v>7.63</v>
      </c>
      <c r="F311" s="1075">
        <v>21.88</v>
      </c>
      <c r="H311" s="973"/>
      <c r="I311" s="1084">
        <f t="shared" si="36"/>
        <v>12.7</v>
      </c>
      <c r="J311" s="1026">
        <f t="shared" si="37"/>
        <v>3048</v>
      </c>
      <c r="K311" s="1026">
        <f t="shared" si="38"/>
        <v>193.80199999999999</v>
      </c>
      <c r="L311" s="1085">
        <f t="shared" si="39"/>
        <v>555.75199999999995</v>
      </c>
    </row>
    <row r="312" spans="2:12" x14ac:dyDescent="0.2">
      <c r="B312" s="990"/>
      <c r="C312" s="1082">
        <v>0.88</v>
      </c>
      <c r="D312" s="415">
        <v>120</v>
      </c>
      <c r="E312" s="1077">
        <v>7.63</v>
      </c>
      <c r="F312" s="1077">
        <v>21.69</v>
      </c>
      <c r="H312" s="1059" t="s">
        <v>332</v>
      </c>
      <c r="I312" s="1086">
        <f t="shared" si="36"/>
        <v>22.352</v>
      </c>
      <c r="J312" s="1027">
        <f t="shared" si="37"/>
        <v>3048</v>
      </c>
      <c r="K312" s="1027">
        <f t="shared" si="38"/>
        <v>193.80199999999999</v>
      </c>
      <c r="L312" s="1087">
        <f t="shared" si="39"/>
        <v>550.92600000000004</v>
      </c>
    </row>
    <row r="313" spans="2:12" x14ac:dyDescent="0.2">
      <c r="B313" s="990"/>
      <c r="C313" s="1082">
        <v>1.25</v>
      </c>
      <c r="D313" s="415">
        <v>120</v>
      </c>
      <c r="E313" s="1077">
        <v>7.63</v>
      </c>
      <c r="F313" s="1077">
        <v>21.5</v>
      </c>
      <c r="H313" s="1066">
        <f>126*25.4</f>
        <v>3200.3999999999996</v>
      </c>
      <c r="I313" s="1086">
        <f t="shared" si="36"/>
        <v>31.75</v>
      </c>
      <c r="J313" s="1027">
        <f t="shared" si="37"/>
        <v>3048</v>
      </c>
      <c r="K313" s="1027">
        <f t="shared" si="38"/>
        <v>193.80199999999999</v>
      </c>
      <c r="L313" s="1087">
        <f t="shared" si="39"/>
        <v>546.1</v>
      </c>
    </row>
    <row r="314" spans="2:12" ht="13.5" thickBot="1" x14ac:dyDescent="0.25">
      <c r="B314" s="974"/>
      <c r="C314" s="1083">
        <v>1.38</v>
      </c>
      <c r="D314" s="1079">
        <v>114</v>
      </c>
      <c r="E314" s="1080">
        <v>7.63</v>
      </c>
      <c r="F314" s="1080">
        <v>22.31</v>
      </c>
      <c r="H314" s="974"/>
      <c r="I314" s="1088">
        <f t="shared" si="36"/>
        <v>35.051999999999992</v>
      </c>
      <c r="J314" s="1089">
        <f t="shared" si="37"/>
        <v>2895.6</v>
      </c>
      <c r="K314" s="1089">
        <f t="shared" si="38"/>
        <v>193.80199999999999</v>
      </c>
      <c r="L314" s="1090">
        <f t="shared" si="39"/>
        <v>566.67399999999998</v>
      </c>
    </row>
    <row r="315" spans="2:12" ht="13.5" thickTop="1" x14ac:dyDescent="0.2">
      <c r="B315" s="973"/>
      <c r="C315" s="1081">
        <v>0.75</v>
      </c>
      <c r="D315" s="1057">
        <v>126</v>
      </c>
      <c r="E315" s="1075">
        <v>8</v>
      </c>
      <c r="F315" s="1075">
        <v>22.81</v>
      </c>
      <c r="H315" s="973"/>
      <c r="I315" s="1084">
        <f t="shared" si="36"/>
        <v>19.049999999999997</v>
      </c>
      <c r="J315" s="1026">
        <f t="shared" si="37"/>
        <v>3200.3999999999996</v>
      </c>
      <c r="K315" s="1026">
        <f t="shared" si="38"/>
        <v>203.2</v>
      </c>
      <c r="L315" s="1085">
        <f t="shared" si="39"/>
        <v>579.37399999999991</v>
      </c>
    </row>
    <row r="316" spans="2:12" x14ac:dyDescent="0.2">
      <c r="B316" s="990"/>
      <c r="C316" s="1082">
        <v>0.88</v>
      </c>
      <c r="D316" s="415">
        <v>120</v>
      </c>
      <c r="E316" s="1077">
        <v>8</v>
      </c>
      <c r="F316" s="1077">
        <v>23.69</v>
      </c>
      <c r="H316" s="1059" t="s">
        <v>333</v>
      </c>
      <c r="I316" s="1086">
        <f t="shared" si="36"/>
        <v>22.352</v>
      </c>
      <c r="J316" s="1027">
        <f t="shared" si="37"/>
        <v>3048</v>
      </c>
      <c r="K316" s="1027">
        <f t="shared" si="38"/>
        <v>203.2</v>
      </c>
      <c r="L316" s="1087">
        <f t="shared" si="39"/>
        <v>601.726</v>
      </c>
    </row>
    <row r="317" spans="2:12" x14ac:dyDescent="0.2">
      <c r="B317" s="990"/>
      <c r="C317" s="1082">
        <v>1.25</v>
      </c>
      <c r="D317" s="415">
        <v>120</v>
      </c>
      <c r="E317" s="1077">
        <v>8</v>
      </c>
      <c r="F317" s="1077">
        <v>23.44</v>
      </c>
      <c r="H317" s="1066">
        <f>132*25.4</f>
        <v>3352.7999999999997</v>
      </c>
      <c r="I317" s="1086">
        <f t="shared" si="36"/>
        <v>31.75</v>
      </c>
      <c r="J317" s="1027">
        <f t="shared" si="37"/>
        <v>3048</v>
      </c>
      <c r="K317" s="1027">
        <f t="shared" si="38"/>
        <v>203.2</v>
      </c>
      <c r="L317" s="1087">
        <f t="shared" si="39"/>
        <v>595.37599999999998</v>
      </c>
    </row>
    <row r="318" spans="2:12" ht="13.5" thickBot="1" x14ac:dyDescent="0.25">
      <c r="B318" s="974"/>
      <c r="C318" s="1083">
        <v>1.63</v>
      </c>
      <c r="D318" s="1079">
        <v>120</v>
      </c>
      <c r="E318" s="1080">
        <v>8</v>
      </c>
      <c r="F318" s="1080">
        <v>23.25</v>
      </c>
      <c r="H318" s="974"/>
      <c r="I318" s="1088">
        <f t="shared" si="36"/>
        <v>41.401999999999994</v>
      </c>
      <c r="J318" s="1089">
        <f t="shared" si="37"/>
        <v>3048</v>
      </c>
      <c r="K318" s="1089">
        <f t="shared" si="38"/>
        <v>203.2</v>
      </c>
      <c r="L318" s="1090">
        <f t="shared" si="39"/>
        <v>590.54999999999995</v>
      </c>
    </row>
    <row r="319" spans="2:12" ht="14.25" thickTop="1" thickBot="1" x14ac:dyDescent="0.25">
      <c r="B319" s="1063" t="s">
        <v>298</v>
      </c>
      <c r="C319" s="1063" t="s">
        <v>317</v>
      </c>
      <c r="D319" s="1063" t="s">
        <v>299</v>
      </c>
      <c r="E319" s="1063" t="s">
        <v>300</v>
      </c>
      <c r="F319" s="1063" t="s">
        <v>301</v>
      </c>
      <c r="G319" s="398" t="s">
        <v>345</v>
      </c>
      <c r="H319" s="1063" t="s">
        <v>298</v>
      </c>
      <c r="I319" s="1063" t="s">
        <v>318</v>
      </c>
      <c r="J319" s="1063" t="s">
        <v>307</v>
      </c>
      <c r="K319" s="1063" t="s">
        <v>308</v>
      </c>
      <c r="L319" s="1063" t="s">
        <v>309</v>
      </c>
    </row>
    <row r="320" spans="2:12" ht="13.5" thickTop="1" x14ac:dyDescent="0.2">
      <c r="B320" s="973"/>
      <c r="C320" s="1074">
        <v>0.63</v>
      </c>
      <c r="D320" s="1057">
        <v>132</v>
      </c>
      <c r="E320" s="1075">
        <v>8.3800000000000008</v>
      </c>
      <c r="F320" s="1075">
        <v>23.94</v>
      </c>
      <c r="H320" s="973"/>
      <c r="I320" s="1084">
        <f t="shared" ref="I320:I343" si="40">C320*25.4</f>
        <v>16.001999999999999</v>
      </c>
      <c r="J320" s="1026">
        <f t="shared" ref="J320:J343" si="41">D320*25.4</f>
        <v>3352.7999999999997</v>
      </c>
      <c r="K320" s="1026">
        <f t="shared" ref="K320:K343" si="42">E320*25.4</f>
        <v>212.852</v>
      </c>
      <c r="L320" s="1085">
        <f t="shared" ref="L320:L343" si="43">F320*25.4</f>
        <v>608.07600000000002</v>
      </c>
    </row>
    <row r="321" spans="2:12" x14ac:dyDescent="0.2">
      <c r="B321" s="990"/>
      <c r="C321" s="1076">
        <v>1</v>
      </c>
      <c r="D321" s="415">
        <v>132</v>
      </c>
      <c r="E321" s="1077">
        <v>8.3800000000000008</v>
      </c>
      <c r="F321" s="1077">
        <v>23.75</v>
      </c>
      <c r="H321" s="1059" t="s">
        <v>334</v>
      </c>
      <c r="I321" s="1086">
        <f t="shared" si="40"/>
        <v>25.4</v>
      </c>
      <c r="J321" s="1027">
        <f t="shared" si="41"/>
        <v>3352.7999999999997</v>
      </c>
      <c r="K321" s="1027">
        <f t="shared" si="42"/>
        <v>212.852</v>
      </c>
      <c r="L321" s="1087">
        <f t="shared" si="43"/>
        <v>603.25</v>
      </c>
    </row>
    <row r="322" spans="2:12" x14ac:dyDescent="0.2">
      <c r="B322" s="990"/>
      <c r="C322" s="1076">
        <v>1.38</v>
      </c>
      <c r="D322" s="415">
        <v>132</v>
      </c>
      <c r="E322" s="1077">
        <v>8.3800000000000008</v>
      </c>
      <c r="F322" s="1077">
        <v>23.56</v>
      </c>
      <c r="H322" s="1066">
        <f>138*25.4</f>
        <v>3505.2</v>
      </c>
      <c r="I322" s="1086">
        <f t="shared" si="40"/>
        <v>35.051999999999992</v>
      </c>
      <c r="J322" s="1027">
        <f t="shared" si="41"/>
        <v>3352.7999999999997</v>
      </c>
      <c r="K322" s="1027">
        <f t="shared" si="42"/>
        <v>212.852</v>
      </c>
      <c r="L322" s="1087">
        <f t="shared" si="43"/>
        <v>598.42399999999998</v>
      </c>
    </row>
    <row r="323" spans="2:12" ht="13.5" thickBot="1" x14ac:dyDescent="0.25">
      <c r="B323" s="974"/>
      <c r="C323" s="1078">
        <v>1.75</v>
      </c>
      <c r="D323" s="1079">
        <v>132</v>
      </c>
      <c r="E323" s="1080">
        <v>8.3800000000000008</v>
      </c>
      <c r="F323" s="1080">
        <v>23.38</v>
      </c>
      <c r="H323" s="974"/>
      <c r="I323" s="1088">
        <f t="shared" si="40"/>
        <v>44.449999999999996</v>
      </c>
      <c r="J323" s="1089">
        <f t="shared" si="41"/>
        <v>3352.7999999999997</v>
      </c>
      <c r="K323" s="1089">
        <f t="shared" si="42"/>
        <v>212.852</v>
      </c>
      <c r="L323" s="1090">
        <f t="shared" si="43"/>
        <v>593.85199999999998</v>
      </c>
    </row>
    <row r="324" spans="2:12" ht="13.5" thickTop="1" x14ac:dyDescent="0.2">
      <c r="B324" s="973"/>
      <c r="C324" s="1081">
        <v>0.63</v>
      </c>
      <c r="D324" s="1057">
        <v>132</v>
      </c>
      <c r="E324" s="1075">
        <v>8.75</v>
      </c>
      <c r="F324" s="1075">
        <v>25.88</v>
      </c>
      <c r="H324" s="973"/>
      <c r="I324" s="1084">
        <f t="shared" si="40"/>
        <v>16.001999999999999</v>
      </c>
      <c r="J324" s="1026">
        <f t="shared" si="41"/>
        <v>3352.7999999999997</v>
      </c>
      <c r="K324" s="1026">
        <f t="shared" si="42"/>
        <v>222.25</v>
      </c>
      <c r="L324" s="1085">
        <f t="shared" si="43"/>
        <v>657.35199999999998</v>
      </c>
    </row>
    <row r="325" spans="2:12" x14ac:dyDescent="0.2">
      <c r="B325" s="990"/>
      <c r="C325" s="1082">
        <v>1</v>
      </c>
      <c r="D325" s="415">
        <v>132</v>
      </c>
      <c r="E325" s="1077">
        <v>8.75</v>
      </c>
      <c r="F325" s="1077">
        <v>25.63</v>
      </c>
      <c r="H325" s="1059" t="s">
        <v>335</v>
      </c>
      <c r="I325" s="1086">
        <f t="shared" si="40"/>
        <v>25.4</v>
      </c>
      <c r="J325" s="1027">
        <f t="shared" si="41"/>
        <v>3352.7999999999997</v>
      </c>
      <c r="K325" s="1027">
        <f t="shared" si="42"/>
        <v>222.25</v>
      </c>
      <c r="L325" s="1087">
        <f t="shared" si="43"/>
        <v>651.00199999999995</v>
      </c>
    </row>
    <row r="326" spans="2:12" x14ac:dyDescent="0.2">
      <c r="B326" s="990"/>
      <c r="C326" s="1082">
        <v>1.38</v>
      </c>
      <c r="D326" s="415">
        <v>132</v>
      </c>
      <c r="E326" s="1077">
        <v>8.75</v>
      </c>
      <c r="F326" s="1077">
        <v>25.44</v>
      </c>
      <c r="H326" s="1066">
        <f>144*25.4</f>
        <v>3657.6</v>
      </c>
      <c r="I326" s="1086">
        <f t="shared" si="40"/>
        <v>35.051999999999992</v>
      </c>
      <c r="J326" s="1027">
        <f t="shared" si="41"/>
        <v>3352.7999999999997</v>
      </c>
      <c r="K326" s="1027">
        <f t="shared" si="42"/>
        <v>222.25</v>
      </c>
      <c r="L326" s="1087">
        <f t="shared" si="43"/>
        <v>646.17600000000004</v>
      </c>
    </row>
    <row r="327" spans="2:12" ht="13.5" thickBot="1" x14ac:dyDescent="0.25">
      <c r="B327" s="974"/>
      <c r="C327" s="1083">
        <v>1.75</v>
      </c>
      <c r="D327" s="1079">
        <v>132</v>
      </c>
      <c r="E327" s="1080">
        <v>8.75</v>
      </c>
      <c r="F327" s="1080">
        <v>25.19</v>
      </c>
      <c r="H327" s="974"/>
      <c r="I327" s="1088">
        <f t="shared" si="40"/>
        <v>44.449999999999996</v>
      </c>
      <c r="J327" s="1089">
        <f t="shared" si="41"/>
        <v>3352.7999999999997</v>
      </c>
      <c r="K327" s="1089">
        <f t="shared" si="42"/>
        <v>222.25</v>
      </c>
      <c r="L327" s="1090">
        <f t="shared" si="43"/>
        <v>639.82600000000002</v>
      </c>
    </row>
    <row r="328" spans="2:12" ht="13.5" thickTop="1" x14ac:dyDescent="0.2">
      <c r="B328" s="973"/>
      <c r="C328" s="1081">
        <v>0.75</v>
      </c>
      <c r="D328" s="1057">
        <v>144</v>
      </c>
      <c r="E328" s="1075">
        <v>9.3800000000000008</v>
      </c>
      <c r="F328" s="1075">
        <v>27.75</v>
      </c>
      <c r="H328" s="973"/>
      <c r="I328" s="1084">
        <f t="shared" si="40"/>
        <v>19.049999999999997</v>
      </c>
      <c r="J328" s="1026">
        <f t="shared" si="41"/>
        <v>3657.6</v>
      </c>
      <c r="K328" s="1026">
        <f t="shared" si="42"/>
        <v>238.25200000000001</v>
      </c>
      <c r="L328" s="1085">
        <f t="shared" si="43"/>
        <v>704.84999999999991</v>
      </c>
    </row>
    <row r="329" spans="2:12" x14ac:dyDescent="0.2">
      <c r="B329" s="990"/>
      <c r="C329" s="1082">
        <v>1.1299999999999999</v>
      </c>
      <c r="D329" s="415">
        <v>144</v>
      </c>
      <c r="E329" s="1077">
        <v>9.3800000000000008</v>
      </c>
      <c r="F329" s="1077">
        <v>27.5</v>
      </c>
      <c r="H329" s="1059" t="s">
        <v>336</v>
      </c>
      <c r="I329" s="1086">
        <f t="shared" si="40"/>
        <v>28.701999999999995</v>
      </c>
      <c r="J329" s="1027">
        <f t="shared" si="41"/>
        <v>3657.6</v>
      </c>
      <c r="K329" s="1027">
        <f t="shared" si="42"/>
        <v>238.25200000000001</v>
      </c>
      <c r="L329" s="1087">
        <f t="shared" si="43"/>
        <v>698.5</v>
      </c>
    </row>
    <row r="330" spans="2:12" x14ac:dyDescent="0.2">
      <c r="B330" s="990"/>
      <c r="C330" s="1082">
        <v>1.5</v>
      </c>
      <c r="D330" s="415">
        <v>144</v>
      </c>
      <c r="E330" s="1077">
        <v>9.3800000000000008</v>
      </c>
      <c r="F330" s="1077">
        <v>27.31</v>
      </c>
      <c r="H330" s="1066">
        <f>156*25.4</f>
        <v>3962.3999999999996</v>
      </c>
      <c r="I330" s="1086">
        <f t="shared" si="40"/>
        <v>38.099999999999994</v>
      </c>
      <c r="J330" s="1027">
        <f t="shared" si="41"/>
        <v>3657.6</v>
      </c>
      <c r="K330" s="1027">
        <f t="shared" si="42"/>
        <v>238.25200000000001</v>
      </c>
      <c r="L330" s="1087">
        <f t="shared" si="43"/>
        <v>693.67399999999998</v>
      </c>
    </row>
    <row r="331" spans="2:12" ht="13.5" thickBot="1" x14ac:dyDescent="0.25">
      <c r="B331" s="974"/>
      <c r="C331" s="1083">
        <v>1.88</v>
      </c>
      <c r="D331" s="1079">
        <v>144</v>
      </c>
      <c r="E331" s="1080">
        <v>9.3800000000000008</v>
      </c>
      <c r="F331" s="1080">
        <v>27.06</v>
      </c>
      <c r="H331" s="974"/>
      <c r="I331" s="1088">
        <f t="shared" si="40"/>
        <v>47.751999999999995</v>
      </c>
      <c r="J331" s="1089">
        <f t="shared" si="41"/>
        <v>3657.6</v>
      </c>
      <c r="K331" s="1089">
        <f t="shared" si="42"/>
        <v>238.25200000000001</v>
      </c>
      <c r="L331" s="1090">
        <f t="shared" si="43"/>
        <v>687.32399999999996</v>
      </c>
    </row>
    <row r="332" spans="2:12" ht="13.5" thickTop="1" x14ac:dyDescent="0.2">
      <c r="B332" s="973"/>
      <c r="C332" s="1081">
        <v>0.75</v>
      </c>
      <c r="D332" s="1057">
        <v>144</v>
      </c>
      <c r="E332" s="1075">
        <v>10.130000000000001</v>
      </c>
      <c r="F332" s="1075">
        <v>31.81</v>
      </c>
      <c r="H332" s="973"/>
      <c r="I332" s="1084">
        <f t="shared" si="40"/>
        <v>19.049999999999997</v>
      </c>
      <c r="J332" s="1026">
        <f t="shared" si="41"/>
        <v>3657.6</v>
      </c>
      <c r="K332" s="1026">
        <f t="shared" si="42"/>
        <v>257.30200000000002</v>
      </c>
      <c r="L332" s="1085">
        <f t="shared" si="43"/>
        <v>807.97399999999993</v>
      </c>
    </row>
    <row r="333" spans="2:12" x14ac:dyDescent="0.2">
      <c r="B333" s="990"/>
      <c r="C333" s="1082">
        <v>1.1299999999999999</v>
      </c>
      <c r="D333" s="415">
        <v>144</v>
      </c>
      <c r="E333" s="1077">
        <v>10.130000000000001</v>
      </c>
      <c r="F333" s="1077">
        <v>31.5</v>
      </c>
      <c r="H333" s="1059" t="s">
        <v>337</v>
      </c>
      <c r="I333" s="1086">
        <f t="shared" si="40"/>
        <v>28.701999999999995</v>
      </c>
      <c r="J333" s="1027">
        <f t="shared" si="41"/>
        <v>3657.6</v>
      </c>
      <c r="K333" s="1027">
        <f t="shared" si="42"/>
        <v>257.30200000000002</v>
      </c>
      <c r="L333" s="1087">
        <f t="shared" si="43"/>
        <v>800.09999999999991</v>
      </c>
    </row>
    <row r="334" spans="2:12" x14ac:dyDescent="0.2">
      <c r="B334" s="990"/>
      <c r="C334" s="1082">
        <v>1.5</v>
      </c>
      <c r="D334" s="415">
        <v>144</v>
      </c>
      <c r="E334" s="1077">
        <v>10.130000000000001</v>
      </c>
      <c r="F334" s="1077">
        <v>31.31</v>
      </c>
      <c r="H334" s="1066">
        <f>168*25.4</f>
        <v>4267.2</v>
      </c>
      <c r="I334" s="1086">
        <f t="shared" si="40"/>
        <v>38.099999999999994</v>
      </c>
      <c r="J334" s="1027">
        <f t="shared" si="41"/>
        <v>3657.6</v>
      </c>
      <c r="K334" s="1027">
        <f t="shared" si="42"/>
        <v>257.30200000000002</v>
      </c>
      <c r="L334" s="1087">
        <f t="shared" si="43"/>
        <v>795.27399999999989</v>
      </c>
    </row>
    <row r="335" spans="2:12" ht="13.5" thickBot="1" x14ac:dyDescent="0.25">
      <c r="B335" s="974"/>
      <c r="C335" s="1083">
        <v>1.88</v>
      </c>
      <c r="D335" s="1079">
        <v>144</v>
      </c>
      <c r="E335" s="1080">
        <v>10.130000000000001</v>
      </c>
      <c r="F335" s="1080">
        <v>31.13</v>
      </c>
      <c r="H335" s="974"/>
      <c r="I335" s="1088">
        <f t="shared" si="40"/>
        <v>47.751999999999995</v>
      </c>
      <c r="J335" s="1089">
        <f t="shared" si="41"/>
        <v>3657.6</v>
      </c>
      <c r="K335" s="1089">
        <f t="shared" si="42"/>
        <v>257.30200000000002</v>
      </c>
      <c r="L335" s="1090">
        <f t="shared" si="43"/>
        <v>790.70199999999988</v>
      </c>
    </row>
    <row r="336" spans="2:12" ht="13.5" thickTop="1" x14ac:dyDescent="0.2">
      <c r="B336" s="973"/>
      <c r="C336" s="1081">
        <v>0.88</v>
      </c>
      <c r="D336" s="1057">
        <v>170</v>
      </c>
      <c r="E336" s="1075">
        <v>10.88</v>
      </c>
      <c r="F336" s="1075">
        <v>31.44</v>
      </c>
      <c r="H336" s="973"/>
      <c r="I336" s="1084">
        <f t="shared" si="40"/>
        <v>22.352</v>
      </c>
      <c r="J336" s="1026">
        <f t="shared" si="41"/>
        <v>4318</v>
      </c>
      <c r="K336" s="1026">
        <f t="shared" si="42"/>
        <v>276.35200000000003</v>
      </c>
      <c r="L336" s="1085">
        <f t="shared" si="43"/>
        <v>798.57600000000002</v>
      </c>
    </row>
    <row r="337" spans="2:12" x14ac:dyDescent="0.2">
      <c r="B337" s="990"/>
      <c r="C337" s="1082">
        <v>1.25</v>
      </c>
      <c r="D337" s="415">
        <v>170</v>
      </c>
      <c r="E337" s="1077">
        <v>10.88</v>
      </c>
      <c r="F337" s="1077">
        <v>31.25</v>
      </c>
      <c r="H337" s="1059">
        <v>180</v>
      </c>
      <c r="I337" s="1086">
        <f t="shared" si="40"/>
        <v>31.75</v>
      </c>
      <c r="J337" s="1027">
        <f t="shared" si="41"/>
        <v>4318</v>
      </c>
      <c r="K337" s="1027">
        <f t="shared" si="42"/>
        <v>276.35200000000003</v>
      </c>
      <c r="L337" s="1087">
        <f t="shared" si="43"/>
        <v>793.75</v>
      </c>
    </row>
    <row r="338" spans="2:12" x14ac:dyDescent="0.2">
      <c r="B338" s="990"/>
      <c r="C338" s="1082">
        <v>1.63</v>
      </c>
      <c r="D338" s="415">
        <v>170</v>
      </c>
      <c r="E338" s="1077">
        <v>10.88</v>
      </c>
      <c r="F338" s="1077">
        <v>31</v>
      </c>
      <c r="H338" s="1066">
        <f>180*25.4</f>
        <v>4572</v>
      </c>
      <c r="I338" s="1086">
        <f t="shared" si="40"/>
        <v>41.401999999999994</v>
      </c>
      <c r="J338" s="1027">
        <f t="shared" si="41"/>
        <v>4318</v>
      </c>
      <c r="K338" s="1027">
        <f t="shared" si="42"/>
        <v>276.35200000000003</v>
      </c>
      <c r="L338" s="1087">
        <f t="shared" si="43"/>
        <v>787.4</v>
      </c>
    </row>
    <row r="339" spans="2:12" ht="13.5" thickBot="1" x14ac:dyDescent="0.25">
      <c r="B339" s="974"/>
      <c r="C339" s="1083">
        <v>2</v>
      </c>
      <c r="D339" s="1079">
        <v>170</v>
      </c>
      <c r="E339" s="1080">
        <v>10.88</v>
      </c>
      <c r="F339" s="1080">
        <v>30.81</v>
      </c>
      <c r="H339" s="974"/>
      <c r="I339" s="1088">
        <f t="shared" si="40"/>
        <v>50.8</v>
      </c>
      <c r="J339" s="1089">
        <f t="shared" si="41"/>
        <v>4318</v>
      </c>
      <c r="K339" s="1089">
        <f t="shared" si="42"/>
        <v>276.35200000000003</v>
      </c>
      <c r="L339" s="1090">
        <f t="shared" si="43"/>
        <v>782.57399999999996</v>
      </c>
    </row>
    <row r="340" spans="2:12" ht="13.5" thickTop="1" x14ac:dyDescent="0.2">
      <c r="B340" s="973"/>
      <c r="C340" s="1081">
        <v>0.88</v>
      </c>
      <c r="D340" s="1057">
        <v>170</v>
      </c>
      <c r="E340" s="1075">
        <v>11.63</v>
      </c>
      <c r="F340" s="1075">
        <v>35.44</v>
      </c>
      <c r="H340" s="973"/>
      <c r="I340" s="1084">
        <f t="shared" si="40"/>
        <v>22.352</v>
      </c>
      <c r="J340" s="1026">
        <f t="shared" si="41"/>
        <v>4318</v>
      </c>
      <c r="K340" s="1026">
        <f t="shared" si="42"/>
        <v>295.40199999999999</v>
      </c>
      <c r="L340" s="1085">
        <f t="shared" si="43"/>
        <v>900.17599999999993</v>
      </c>
    </row>
    <row r="341" spans="2:12" x14ac:dyDescent="0.2">
      <c r="B341" s="990"/>
      <c r="C341" s="1082">
        <v>1.25</v>
      </c>
      <c r="D341" s="415">
        <v>170</v>
      </c>
      <c r="E341" s="1077">
        <v>11.63</v>
      </c>
      <c r="F341" s="1077">
        <v>35.19</v>
      </c>
      <c r="H341" s="1059" t="s">
        <v>338</v>
      </c>
      <c r="I341" s="1086">
        <f t="shared" si="40"/>
        <v>31.75</v>
      </c>
      <c r="J341" s="1027">
        <f t="shared" si="41"/>
        <v>4318</v>
      </c>
      <c r="K341" s="1027">
        <f t="shared" si="42"/>
        <v>295.40199999999999</v>
      </c>
      <c r="L341" s="1087">
        <f t="shared" si="43"/>
        <v>893.82599999999991</v>
      </c>
    </row>
    <row r="342" spans="2:12" x14ac:dyDescent="0.2">
      <c r="B342" s="990"/>
      <c r="C342" s="1082">
        <v>1.63</v>
      </c>
      <c r="D342" s="415">
        <v>170</v>
      </c>
      <c r="E342" s="1077">
        <v>11.63</v>
      </c>
      <c r="F342" s="1077">
        <v>34.94</v>
      </c>
      <c r="H342" s="1066">
        <f>192*25.4</f>
        <v>4876.7999999999993</v>
      </c>
      <c r="I342" s="1086">
        <f t="shared" si="40"/>
        <v>41.401999999999994</v>
      </c>
      <c r="J342" s="1027">
        <f t="shared" si="41"/>
        <v>4318</v>
      </c>
      <c r="K342" s="1027">
        <f t="shared" si="42"/>
        <v>295.40199999999999</v>
      </c>
      <c r="L342" s="1087">
        <f t="shared" si="43"/>
        <v>887.47599999999989</v>
      </c>
    </row>
    <row r="343" spans="2:12" ht="13.5" thickBot="1" x14ac:dyDescent="0.25">
      <c r="B343" s="974"/>
      <c r="C343" s="1083">
        <v>2</v>
      </c>
      <c r="D343" s="1079">
        <v>170</v>
      </c>
      <c r="E343" s="1080">
        <v>11.63</v>
      </c>
      <c r="F343" s="1080">
        <v>34.75</v>
      </c>
      <c r="H343" s="974"/>
      <c r="I343" s="1088">
        <f t="shared" si="40"/>
        <v>50.8</v>
      </c>
      <c r="J343" s="1089">
        <f t="shared" si="41"/>
        <v>4318</v>
      </c>
      <c r="K343" s="1089">
        <f t="shared" si="42"/>
        <v>295.40199999999999</v>
      </c>
      <c r="L343" s="1090">
        <f t="shared" si="43"/>
        <v>882.65</v>
      </c>
    </row>
    <row r="344" spans="2:12" ht="14.25" thickTop="1" thickBot="1" x14ac:dyDescent="0.25">
      <c r="B344" s="1063" t="s">
        <v>298</v>
      </c>
      <c r="C344" s="1063" t="s">
        <v>317</v>
      </c>
      <c r="D344" s="1063" t="s">
        <v>299</v>
      </c>
      <c r="E344" s="1063" t="s">
        <v>300</v>
      </c>
      <c r="F344" s="1063" t="s">
        <v>301</v>
      </c>
      <c r="G344" s="398" t="s">
        <v>345</v>
      </c>
      <c r="H344" s="1063" t="s">
        <v>298</v>
      </c>
      <c r="I344" s="1063" t="s">
        <v>318</v>
      </c>
      <c r="J344" s="1063" t="s">
        <v>307</v>
      </c>
      <c r="K344" s="1063" t="s">
        <v>308</v>
      </c>
      <c r="L344" s="1063" t="s">
        <v>309</v>
      </c>
    </row>
    <row r="345" spans="2:12" ht="13.5" thickTop="1" x14ac:dyDescent="0.2">
      <c r="B345" s="973"/>
      <c r="C345" s="1074">
        <v>0.88</v>
      </c>
      <c r="D345" s="1057">
        <v>170</v>
      </c>
      <c r="E345" s="1075">
        <v>12.25</v>
      </c>
      <c r="F345" s="1075">
        <v>39.56</v>
      </c>
      <c r="H345" s="973"/>
      <c r="I345" s="1084">
        <f t="shared" ref="I345:I360" si="44">C345*25.4</f>
        <v>22.352</v>
      </c>
      <c r="J345" s="1026">
        <f t="shared" ref="J345:J360" si="45">D345*25.4</f>
        <v>4318</v>
      </c>
      <c r="K345" s="1026">
        <f t="shared" ref="K345:K360" si="46">E345*25.4</f>
        <v>311.14999999999998</v>
      </c>
      <c r="L345" s="1085">
        <f t="shared" ref="L345:L360" si="47">F345*25.4</f>
        <v>1004.824</v>
      </c>
    </row>
    <row r="346" spans="2:12" x14ac:dyDescent="0.2">
      <c r="B346" s="990"/>
      <c r="C346" s="1076">
        <v>1.25</v>
      </c>
      <c r="D346" s="415">
        <v>170</v>
      </c>
      <c r="E346" s="1077">
        <v>12.25</v>
      </c>
      <c r="F346" s="1077">
        <v>39.380000000000003</v>
      </c>
      <c r="H346" s="1059" t="s">
        <v>339</v>
      </c>
      <c r="I346" s="1086">
        <f t="shared" si="44"/>
        <v>31.75</v>
      </c>
      <c r="J346" s="1027">
        <f t="shared" si="45"/>
        <v>4318</v>
      </c>
      <c r="K346" s="1027">
        <f t="shared" si="46"/>
        <v>311.14999999999998</v>
      </c>
      <c r="L346" s="1087">
        <f t="shared" si="47"/>
        <v>1000.252</v>
      </c>
    </row>
    <row r="347" spans="2:12" x14ac:dyDescent="0.2">
      <c r="B347" s="990"/>
      <c r="C347" s="1076">
        <v>1.63</v>
      </c>
      <c r="D347" s="415">
        <v>170</v>
      </c>
      <c r="E347" s="1077">
        <v>12.25</v>
      </c>
      <c r="F347" s="1077">
        <v>39.19</v>
      </c>
      <c r="H347" s="1066">
        <f>204*25.4</f>
        <v>5181.5999999999995</v>
      </c>
      <c r="I347" s="1086">
        <f t="shared" si="44"/>
        <v>41.401999999999994</v>
      </c>
      <c r="J347" s="1027">
        <f t="shared" si="45"/>
        <v>4318</v>
      </c>
      <c r="K347" s="1027">
        <f t="shared" si="46"/>
        <v>311.14999999999998</v>
      </c>
      <c r="L347" s="1087">
        <f t="shared" si="47"/>
        <v>995.42599999999993</v>
      </c>
    </row>
    <row r="348" spans="2:12" ht="13.5" thickBot="1" x14ac:dyDescent="0.25">
      <c r="B348" s="974"/>
      <c r="C348" s="1078">
        <v>2</v>
      </c>
      <c r="D348" s="1079">
        <v>170</v>
      </c>
      <c r="E348" s="1080">
        <v>12.25</v>
      </c>
      <c r="F348" s="1080">
        <v>38.94</v>
      </c>
      <c r="H348" s="974"/>
      <c r="I348" s="1088">
        <f t="shared" si="44"/>
        <v>50.8</v>
      </c>
      <c r="J348" s="1089">
        <f t="shared" si="45"/>
        <v>4318</v>
      </c>
      <c r="K348" s="1089">
        <f t="shared" si="46"/>
        <v>311.14999999999998</v>
      </c>
      <c r="L348" s="1090">
        <f t="shared" si="47"/>
        <v>989.07599999999991</v>
      </c>
    </row>
    <row r="349" spans="2:12" ht="13.5" thickTop="1" x14ac:dyDescent="0.2">
      <c r="B349" s="973"/>
      <c r="C349" s="1074">
        <v>1</v>
      </c>
      <c r="D349" s="1057">
        <v>170</v>
      </c>
      <c r="E349" s="1075">
        <v>12.63</v>
      </c>
      <c r="F349" s="1075">
        <v>41.81</v>
      </c>
      <c r="H349" s="973"/>
      <c r="I349" s="1084">
        <f t="shared" si="44"/>
        <v>25.4</v>
      </c>
      <c r="J349" s="1026">
        <f t="shared" si="45"/>
        <v>4318</v>
      </c>
      <c r="K349" s="1026">
        <f t="shared" si="46"/>
        <v>320.80200000000002</v>
      </c>
      <c r="L349" s="1085">
        <f t="shared" si="47"/>
        <v>1061.9739999999999</v>
      </c>
    </row>
    <row r="350" spans="2:12" x14ac:dyDescent="0.2">
      <c r="B350" s="990"/>
      <c r="C350" s="1076">
        <v>1.38</v>
      </c>
      <c r="D350" s="415">
        <v>170</v>
      </c>
      <c r="E350" s="1077">
        <v>12.63</v>
      </c>
      <c r="F350" s="1077">
        <v>41.63</v>
      </c>
      <c r="H350" s="1059" t="s">
        <v>346</v>
      </c>
      <c r="I350" s="1086">
        <f t="shared" si="44"/>
        <v>35.051999999999992</v>
      </c>
      <c r="J350" s="1027">
        <f t="shared" si="45"/>
        <v>4318</v>
      </c>
      <c r="K350" s="1027">
        <f t="shared" si="46"/>
        <v>320.80200000000002</v>
      </c>
      <c r="L350" s="1087">
        <f t="shared" si="47"/>
        <v>1057.402</v>
      </c>
    </row>
    <row r="351" spans="2:12" x14ac:dyDescent="0.2">
      <c r="B351" s="990"/>
      <c r="C351" s="1076">
        <v>1.75</v>
      </c>
      <c r="D351" s="415">
        <v>170</v>
      </c>
      <c r="E351" s="1077">
        <v>12.63</v>
      </c>
      <c r="F351" s="1077">
        <v>41.31</v>
      </c>
      <c r="H351" s="1066">
        <f>210*25.4</f>
        <v>5334</v>
      </c>
      <c r="I351" s="1086">
        <f t="shared" si="44"/>
        <v>44.449999999999996</v>
      </c>
      <c r="J351" s="1027">
        <f t="shared" si="45"/>
        <v>4318</v>
      </c>
      <c r="K351" s="1027">
        <f t="shared" si="46"/>
        <v>320.80200000000002</v>
      </c>
      <c r="L351" s="1087">
        <f t="shared" si="47"/>
        <v>1049.2739999999999</v>
      </c>
    </row>
    <row r="352" spans="2:12" ht="13.5" thickBot="1" x14ac:dyDescent="0.25">
      <c r="B352" s="974"/>
      <c r="C352" s="1078">
        <v>2.25</v>
      </c>
      <c r="D352" s="1079">
        <v>170</v>
      </c>
      <c r="E352" s="1080">
        <v>12.63</v>
      </c>
      <c r="F352" s="1080">
        <v>41</v>
      </c>
      <c r="H352" s="974"/>
      <c r="I352" s="1088">
        <f t="shared" si="44"/>
        <v>57.15</v>
      </c>
      <c r="J352" s="1089">
        <f t="shared" si="45"/>
        <v>4318</v>
      </c>
      <c r="K352" s="1089">
        <f t="shared" si="46"/>
        <v>320.80200000000002</v>
      </c>
      <c r="L352" s="1090">
        <f t="shared" si="47"/>
        <v>1041.3999999999999</v>
      </c>
    </row>
    <row r="353" spans="2:12" ht="13.5" thickTop="1" x14ac:dyDescent="0.2">
      <c r="B353" s="973"/>
      <c r="C353" s="1074">
        <v>1</v>
      </c>
      <c r="D353" s="1057">
        <v>170</v>
      </c>
      <c r="E353" s="1075">
        <v>13</v>
      </c>
      <c r="F353" s="1075">
        <v>44.25</v>
      </c>
      <c r="H353" s="973"/>
      <c r="I353" s="1084">
        <f t="shared" si="44"/>
        <v>25.4</v>
      </c>
      <c r="J353" s="1026">
        <f t="shared" si="45"/>
        <v>4318</v>
      </c>
      <c r="K353" s="1026">
        <f t="shared" si="46"/>
        <v>330.2</v>
      </c>
      <c r="L353" s="1085">
        <f t="shared" si="47"/>
        <v>1123.95</v>
      </c>
    </row>
    <row r="354" spans="2:12" x14ac:dyDescent="0.2">
      <c r="B354" s="990"/>
      <c r="C354" s="1076">
        <v>1.38</v>
      </c>
      <c r="D354" s="415">
        <v>170</v>
      </c>
      <c r="E354" s="1077">
        <v>13</v>
      </c>
      <c r="F354" s="1077">
        <v>44</v>
      </c>
      <c r="H354" s="1059" t="s">
        <v>340</v>
      </c>
      <c r="I354" s="1086">
        <f t="shared" si="44"/>
        <v>35.051999999999992</v>
      </c>
      <c r="J354" s="1027">
        <f t="shared" si="45"/>
        <v>4318</v>
      </c>
      <c r="K354" s="1027">
        <f t="shared" si="46"/>
        <v>330.2</v>
      </c>
      <c r="L354" s="1087">
        <f t="shared" si="47"/>
        <v>1117.5999999999999</v>
      </c>
    </row>
    <row r="355" spans="2:12" x14ac:dyDescent="0.2">
      <c r="B355" s="990"/>
      <c r="C355" s="1076">
        <v>1.75</v>
      </c>
      <c r="D355" s="415">
        <v>170</v>
      </c>
      <c r="E355" s="1077">
        <v>13</v>
      </c>
      <c r="F355" s="1077">
        <v>43.69</v>
      </c>
      <c r="H355" s="1066">
        <f>216*25.4</f>
        <v>5486.4</v>
      </c>
      <c r="I355" s="1086">
        <f t="shared" si="44"/>
        <v>44.449999999999996</v>
      </c>
      <c r="J355" s="1027">
        <f t="shared" si="45"/>
        <v>4318</v>
      </c>
      <c r="K355" s="1027">
        <f t="shared" si="46"/>
        <v>330.2</v>
      </c>
      <c r="L355" s="1087">
        <f t="shared" si="47"/>
        <v>1109.7259999999999</v>
      </c>
    </row>
    <row r="356" spans="2:12" ht="13.5" thickBot="1" x14ac:dyDescent="0.25">
      <c r="B356" s="974"/>
      <c r="C356" s="1078">
        <v>2</v>
      </c>
      <c r="D356" s="1079">
        <v>170</v>
      </c>
      <c r="E356" s="1080">
        <v>13</v>
      </c>
      <c r="F356" s="1080">
        <v>43.5</v>
      </c>
      <c r="H356" s="974"/>
      <c r="I356" s="1088">
        <f t="shared" si="44"/>
        <v>50.8</v>
      </c>
      <c r="J356" s="1089">
        <f t="shared" si="45"/>
        <v>4318</v>
      </c>
      <c r="K356" s="1089">
        <f t="shared" si="46"/>
        <v>330.2</v>
      </c>
      <c r="L356" s="1090">
        <f t="shared" si="47"/>
        <v>1104.8999999999999</v>
      </c>
    </row>
    <row r="357" spans="2:12" ht="13.5" thickTop="1" x14ac:dyDescent="0.2">
      <c r="B357" s="973"/>
      <c r="C357" s="1074">
        <v>1</v>
      </c>
      <c r="D357" s="1057">
        <v>180</v>
      </c>
      <c r="E357" s="1075">
        <v>13.75</v>
      </c>
      <c r="F357" s="1075">
        <v>46.56</v>
      </c>
      <c r="H357" s="973"/>
      <c r="I357" s="1084">
        <f t="shared" si="44"/>
        <v>25.4</v>
      </c>
      <c r="J357" s="1026">
        <f t="shared" si="45"/>
        <v>4572</v>
      </c>
      <c r="K357" s="1026">
        <f t="shared" si="46"/>
        <v>349.25</v>
      </c>
      <c r="L357" s="1085">
        <f t="shared" si="47"/>
        <v>1182.624</v>
      </c>
    </row>
    <row r="358" spans="2:12" x14ac:dyDescent="0.2">
      <c r="B358" s="990"/>
      <c r="C358" s="1076">
        <v>1.38</v>
      </c>
      <c r="D358" s="415">
        <v>180</v>
      </c>
      <c r="E358" s="1077">
        <v>13.75</v>
      </c>
      <c r="F358" s="1077">
        <v>46.31</v>
      </c>
      <c r="H358" s="1059" t="s">
        <v>341</v>
      </c>
      <c r="I358" s="1086">
        <f t="shared" si="44"/>
        <v>35.051999999999992</v>
      </c>
      <c r="J358" s="1027">
        <f t="shared" si="45"/>
        <v>4572</v>
      </c>
      <c r="K358" s="1027">
        <f t="shared" si="46"/>
        <v>349.25</v>
      </c>
      <c r="L358" s="1087">
        <f t="shared" si="47"/>
        <v>1176.2739999999999</v>
      </c>
    </row>
    <row r="359" spans="2:12" x14ac:dyDescent="0.2">
      <c r="B359" s="990"/>
      <c r="C359" s="1076">
        <v>1.75</v>
      </c>
      <c r="D359" s="415">
        <v>180</v>
      </c>
      <c r="E359" s="1077">
        <v>13.75</v>
      </c>
      <c r="F359" s="1077">
        <v>46.06</v>
      </c>
      <c r="H359" s="1066">
        <f>228*25.4</f>
        <v>5791.2</v>
      </c>
      <c r="I359" s="1086">
        <f t="shared" si="44"/>
        <v>44.449999999999996</v>
      </c>
      <c r="J359" s="1027">
        <f t="shared" si="45"/>
        <v>4572</v>
      </c>
      <c r="K359" s="1027">
        <f t="shared" si="46"/>
        <v>349.25</v>
      </c>
      <c r="L359" s="1087">
        <f t="shared" si="47"/>
        <v>1169.924</v>
      </c>
    </row>
    <row r="360" spans="2:12" ht="13.5" thickBot="1" x14ac:dyDescent="0.25">
      <c r="B360" s="974"/>
      <c r="C360" s="1078">
        <v>2</v>
      </c>
      <c r="D360" s="1079">
        <v>180</v>
      </c>
      <c r="E360" s="1080">
        <v>13.75</v>
      </c>
      <c r="F360" s="1080">
        <v>45.69</v>
      </c>
      <c r="H360" s="974"/>
      <c r="I360" s="1088">
        <f t="shared" si="44"/>
        <v>50.8</v>
      </c>
      <c r="J360" s="1089">
        <f t="shared" si="45"/>
        <v>4572</v>
      </c>
      <c r="K360" s="1089">
        <f t="shared" si="46"/>
        <v>349.25</v>
      </c>
      <c r="L360" s="1090">
        <f t="shared" si="47"/>
        <v>1160.5259999999998</v>
      </c>
    </row>
    <row r="361" spans="2:12" ht="13.5" thickTop="1" x14ac:dyDescent="0.2"/>
  </sheetData>
  <sheetProtection password="CDD2" sheet="1" objects="1" scenarios="1"/>
  <pageMargins left="0.75" right="0.75" top="1" bottom="1" header="0.5" footer="0.5"/>
  <pageSetup orientation="portrait" verticalDpi="0" r:id="rId1"/>
  <headerFooter alignWithMargins="0"/>
  <drawing r:id="rId2"/>
  <legacy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34"/>
  <sheetViews>
    <sheetView showGridLines="0" workbookViewId="0">
      <pane ySplit="11" topLeftCell="A12" activePane="bottomLeft" state="frozen"/>
      <selection pane="bottomLeft" activeCell="B16" sqref="B16"/>
    </sheetView>
  </sheetViews>
  <sheetFormatPr defaultRowHeight="12.75" x14ac:dyDescent="0.2"/>
  <cols>
    <col min="1" max="1" width="5.7109375" customWidth="1"/>
    <col min="5" max="5" width="12.5703125" customWidth="1"/>
    <col min="6" max="6" width="12" customWidth="1"/>
    <col min="7" max="7" width="22.42578125" customWidth="1"/>
    <col min="8" max="8" width="27" customWidth="1"/>
  </cols>
  <sheetData>
    <row r="1" spans="2:10" x14ac:dyDescent="0.2">
      <c r="F1" s="1056" t="s">
        <v>286</v>
      </c>
    </row>
    <row r="2" spans="2:10" ht="13.5" thickBot="1" x14ac:dyDescent="0.25">
      <c r="F2" s="1056" t="s">
        <v>287</v>
      </c>
    </row>
    <row r="3" spans="2:10" ht="13.5" thickTop="1" x14ac:dyDescent="0.2">
      <c r="B3" s="1052"/>
      <c r="C3" s="1052"/>
      <c r="D3" s="1052"/>
      <c r="E3" s="895"/>
      <c r="F3" s="897"/>
      <c r="G3" s="1052"/>
      <c r="H3" s="1052"/>
    </row>
    <row r="4" spans="2:10" x14ac:dyDescent="0.2">
      <c r="B4" s="1053"/>
      <c r="C4" s="1053"/>
      <c r="D4" s="1053"/>
      <c r="E4" s="350"/>
      <c r="F4" s="899"/>
      <c r="G4" s="1053"/>
      <c r="H4" s="1053"/>
    </row>
    <row r="5" spans="2:10" x14ac:dyDescent="0.2">
      <c r="B5" s="1053"/>
      <c r="C5" s="1053"/>
      <c r="D5" s="1053"/>
      <c r="E5" s="350"/>
      <c r="F5" s="899"/>
      <c r="G5" s="1053"/>
      <c r="H5" s="1053"/>
    </row>
    <row r="6" spans="2:10" ht="13.5" thickBot="1" x14ac:dyDescent="0.25">
      <c r="B6" s="1053"/>
      <c r="C6" s="1053"/>
      <c r="D6" s="1053"/>
      <c r="E6" s="904"/>
      <c r="F6" s="906"/>
      <c r="G6" s="1053"/>
      <c r="H6" s="1053"/>
    </row>
    <row r="7" spans="2:10" ht="13.5" thickTop="1" x14ac:dyDescent="0.2">
      <c r="B7" s="1054"/>
      <c r="C7" s="1054"/>
      <c r="D7" s="1054"/>
      <c r="E7" s="1055"/>
      <c r="F7" s="1055"/>
      <c r="G7" s="1053"/>
      <c r="H7" s="1053"/>
    </row>
    <row r="8" spans="2:10" x14ac:dyDescent="0.2">
      <c r="B8" s="1054"/>
      <c r="C8" s="1054"/>
      <c r="D8" s="1054"/>
      <c r="E8" s="1054"/>
      <c r="F8" s="1054"/>
      <c r="G8" s="1053"/>
      <c r="H8" s="1053"/>
    </row>
    <row r="9" spans="2:10" x14ac:dyDescent="0.2">
      <c r="B9" s="1059" t="s">
        <v>1867</v>
      </c>
      <c r="C9" s="1054"/>
      <c r="D9" s="990" t="s">
        <v>1482</v>
      </c>
      <c r="E9" s="990" t="s">
        <v>276</v>
      </c>
      <c r="F9" s="1054"/>
      <c r="G9" s="1053"/>
      <c r="H9" s="1053"/>
      <c r="J9" s="1091"/>
    </row>
    <row r="10" spans="2:10" ht="13.5" thickBot="1" x14ac:dyDescent="0.25">
      <c r="B10" s="1059" t="s">
        <v>1556</v>
      </c>
      <c r="C10" s="990" t="s">
        <v>1556</v>
      </c>
      <c r="D10" s="990" t="s">
        <v>1539</v>
      </c>
      <c r="E10" s="974" t="s">
        <v>1755</v>
      </c>
      <c r="F10" s="990" t="s">
        <v>277</v>
      </c>
      <c r="G10" s="1053"/>
      <c r="H10" s="1053"/>
    </row>
    <row r="11" spans="2:10" ht="14.25" thickTop="1" thickBot="1" x14ac:dyDescent="0.25">
      <c r="B11" s="975" t="s">
        <v>894</v>
      </c>
      <c r="C11" s="974" t="s">
        <v>1871</v>
      </c>
      <c r="D11" s="974" t="s">
        <v>1802</v>
      </c>
      <c r="E11" s="974" t="s">
        <v>347</v>
      </c>
      <c r="F11" s="974" t="s">
        <v>349</v>
      </c>
      <c r="G11" s="974" t="s">
        <v>347</v>
      </c>
      <c r="H11" s="974" t="s">
        <v>347</v>
      </c>
    </row>
    <row r="12" spans="2:10" ht="13.5" thickTop="1" x14ac:dyDescent="0.2">
      <c r="B12" s="1057" t="s">
        <v>117</v>
      </c>
      <c r="C12" s="950">
        <v>80</v>
      </c>
      <c r="D12" s="1058">
        <v>0.154</v>
      </c>
      <c r="E12" s="950" t="s">
        <v>348</v>
      </c>
      <c r="F12" s="950" t="s">
        <v>350</v>
      </c>
      <c r="G12" s="950" t="s">
        <v>358</v>
      </c>
      <c r="H12" s="950" t="s">
        <v>359</v>
      </c>
    </row>
    <row r="13" spans="2:10" x14ac:dyDescent="0.2">
      <c r="B13" s="540" t="s">
        <v>119</v>
      </c>
      <c r="C13" s="1060">
        <v>80</v>
      </c>
      <c r="D13" s="1061">
        <v>0.17899999999999999</v>
      </c>
      <c r="E13" s="1060" t="s">
        <v>355</v>
      </c>
      <c r="F13" s="1060" t="s">
        <v>352</v>
      </c>
      <c r="G13" s="1060" t="s">
        <v>360</v>
      </c>
      <c r="H13" s="1060" t="s">
        <v>348</v>
      </c>
    </row>
    <row r="14" spans="2:10" x14ac:dyDescent="0.2">
      <c r="B14" s="415" t="s">
        <v>123</v>
      </c>
      <c r="C14" s="75">
        <v>80</v>
      </c>
      <c r="D14" s="78">
        <v>0.2</v>
      </c>
      <c r="E14" s="75" t="s">
        <v>356</v>
      </c>
      <c r="F14" s="75" t="s">
        <v>353</v>
      </c>
      <c r="G14" s="75" t="s">
        <v>361</v>
      </c>
      <c r="H14" s="75" t="s">
        <v>355</v>
      </c>
    </row>
    <row r="15" spans="2:10" x14ac:dyDescent="0.2">
      <c r="B15" s="540" t="s">
        <v>189</v>
      </c>
      <c r="C15" s="1060">
        <v>40</v>
      </c>
      <c r="D15" s="1061">
        <v>0.154</v>
      </c>
      <c r="E15" s="1060" t="s">
        <v>357</v>
      </c>
      <c r="F15" s="1060" t="s">
        <v>354</v>
      </c>
      <c r="G15" s="1060" t="s">
        <v>362</v>
      </c>
      <c r="H15" s="1060" t="s">
        <v>363</v>
      </c>
    </row>
    <row r="16" spans="2:10" x14ac:dyDescent="0.2">
      <c r="B16" s="415" t="s">
        <v>189</v>
      </c>
      <c r="C16" s="75">
        <v>80</v>
      </c>
      <c r="D16" s="78">
        <v>0.218</v>
      </c>
      <c r="E16" s="75" t="s">
        <v>364</v>
      </c>
      <c r="F16" s="1092" t="s">
        <v>354</v>
      </c>
      <c r="G16" s="75" t="s">
        <v>355</v>
      </c>
      <c r="H16" s="75" t="s">
        <v>365</v>
      </c>
    </row>
    <row r="17" spans="2:8" x14ac:dyDescent="0.2">
      <c r="B17" s="540" t="s">
        <v>241</v>
      </c>
      <c r="C17" s="1060">
        <v>40</v>
      </c>
      <c r="D17" s="1061">
        <v>0.216</v>
      </c>
      <c r="E17" s="1060" t="s">
        <v>366</v>
      </c>
      <c r="F17" s="1060" t="s">
        <v>354</v>
      </c>
      <c r="G17" s="1060" t="s">
        <v>367</v>
      </c>
      <c r="H17" s="1060" t="s">
        <v>368</v>
      </c>
    </row>
    <row r="18" spans="2:8" x14ac:dyDescent="0.2">
      <c r="B18" s="415" t="s">
        <v>253</v>
      </c>
      <c r="C18" s="75">
        <v>40</v>
      </c>
      <c r="D18" s="78">
        <v>0.23699999999999999</v>
      </c>
      <c r="E18" s="75" t="s">
        <v>369</v>
      </c>
      <c r="F18" s="1092" t="s">
        <v>354</v>
      </c>
      <c r="G18" s="75" t="s">
        <v>368</v>
      </c>
      <c r="H18" s="75" t="s">
        <v>364</v>
      </c>
    </row>
    <row r="19" spans="2:8" x14ac:dyDescent="0.2">
      <c r="B19" s="540" t="s">
        <v>254</v>
      </c>
      <c r="C19" s="1060">
        <v>40</v>
      </c>
      <c r="D19" s="1061">
        <v>0.28000000000000003</v>
      </c>
      <c r="E19" s="1060" t="s">
        <v>370</v>
      </c>
      <c r="F19" s="1060" t="s">
        <v>354</v>
      </c>
      <c r="G19" s="1060" t="s">
        <v>371</v>
      </c>
      <c r="H19" s="1060" t="s">
        <v>366</v>
      </c>
    </row>
    <row r="20" spans="2:8" x14ac:dyDescent="0.2">
      <c r="B20" s="415" t="s">
        <v>278</v>
      </c>
      <c r="C20" s="75">
        <v>30</v>
      </c>
      <c r="D20" s="78">
        <v>0.27700000000000002</v>
      </c>
      <c r="E20" s="75" t="s">
        <v>372</v>
      </c>
      <c r="F20" s="1092" t="s">
        <v>354</v>
      </c>
      <c r="G20" s="75" t="s">
        <v>373</v>
      </c>
      <c r="H20" s="75" t="s">
        <v>369</v>
      </c>
    </row>
    <row r="21" spans="2:8" x14ac:dyDescent="0.2">
      <c r="B21" s="540" t="s">
        <v>279</v>
      </c>
      <c r="C21" s="1060">
        <v>20</v>
      </c>
      <c r="D21" s="1061">
        <v>0.25</v>
      </c>
      <c r="E21" s="1060" t="s">
        <v>374</v>
      </c>
      <c r="F21" s="1060" t="s">
        <v>354</v>
      </c>
      <c r="G21" s="1060" t="s">
        <v>366</v>
      </c>
      <c r="H21" s="1060" t="s">
        <v>375</v>
      </c>
    </row>
    <row r="22" spans="2:8" x14ac:dyDescent="0.2">
      <c r="B22" s="415" t="s">
        <v>279</v>
      </c>
      <c r="C22" s="75">
        <v>40</v>
      </c>
      <c r="D22" s="78">
        <v>0.36499999999999999</v>
      </c>
      <c r="E22" s="75" t="s">
        <v>376</v>
      </c>
      <c r="F22" s="1092" t="s">
        <v>354</v>
      </c>
      <c r="G22" s="75" t="s">
        <v>369</v>
      </c>
      <c r="H22" s="75" t="s">
        <v>377</v>
      </c>
    </row>
    <row r="23" spans="2:8" x14ac:dyDescent="0.2">
      <c r="B23" s="540" t="s">
        <v>280</v>
      </c>
      <c r="C23" s="1060">
        <v>20</v>
      </c>
      <c r="D23" s="1061">
        <v>0.25</v>
      </c>
      <c r="E23" s="1060" t="s">
        <v>378</v>
      </c>
      <c r="F23" s="1060" t="s">
        <v>354</v>
      </c>
      <c r="G23" s="1060" t="s">
        <v>379</v>
      </c>
      <c r="H23" s="1060" t="s">
        <v>380</v>
      </c>
    </row>
    <row r="24" spans="2:8" x14ac:dyDescent="0.2">
      <c r="B24" s="415" t="s">
        <v>280</v>
      </c>
      <c r="C24" s="75" t="s">
        <v>1878</v>
      </c>
      <c r="D24" s="78">
        <v>0.375</v>
      </c>
      <c r="E24" s="75" t="s">
        <v>381</v>
      </c>
      <c r="F24" s="1092" t="s">
        <v>354</v>
      </c>
      <c r="G24" s="75" t="s">
        <v>375</v>
      </c>
      <c r="H24" s="75" t="s">
        <v>370</v>
      </c>
    </row>
    <row r="25" spans="2:8" x14ac:dyDescent="0.2">
      <c r="B25" s="540" t="s">
        <v>281</v>
      </c>
      <c r="C25" s="1060">
        <v>10</v>
      </c>
      <c r="D25" s="1061">
        <v>0.25</v>
      </c>
      <c r="E25" s="1060" t="s">
        <v>382</v>
      </c>
      <c r="F25" s="1060" t="s">
        <v>354</v>
      </c>
      <c r="G25" s="1060" t="s">
        <v>369</v>
      </c>
      <c r="H25" s="1060" t="s">
        <v>377</v>
      </c>
    </row>
    <row r="26" spans="2:8" x14ac:dyDescent="0.2">
      <c r="B26" s="415" t="s">
        <v>281</v>
      </c>
      <c r="C26" s="75" t="s">
        <v>1878</v>
      </c>
      <c r="D26" s="78">
        <v>0.375</v>
      </c>
      <c r="E26" s="75" t="s">
        <v>383</v>
      </c>
      <c r="F26" s="1092" t="s">
        <v>354</v>
      </c>
      <c r="G26" s="75" t="s">
        <v>380</v>
      </c>
      <c r="H26" s="75" t="s">
        <v>384</v>
      </c>
    </row>
    <row r="27" spans="2:8" x14ac:dyDescent="0.2">
      <c r="B27" s="540" t="s">
        <v>282</v>
      </c>
      <c r="C27" s="1060">
        <v>10</v>
      </c>
      <c r="D27" s="1061">
        <v>0.25</v>
      </c>
      <c r="E27" s="1060" t="s">
        <v>381</v>
      </c>
      <c r="F27" s="1060" t="s">
        <v>354</v>
      </c>
      <c r="G27" s="1060" t="s">
        <v>385</v>
      </c>
      <c r="H27" s="1060" t="s">
        <v>370</v>
      </c>
    </row>
    <row r="28" spans="2:8" x14ac:dyDescent="0.2">
      <c r="B28" s="415" t="s">
        <v>282</v>
      </c>
      <c r="C28" s="75" t="s">
        <v>1878</v>
      </c>
      <c r="D28" s="78">
        <v>0.375</v>
      </c>
      <c r="E28" s="75" t="s">
        <v>386</v>
      </c>
      <c r="F28" s="1092" t="s">
        <v>354</v>
      </c>
      <c r="G28" s="75" t="s">
        <v>377</v>
      </c>
      <c r="H28" s="75" t="s">
        <v>372</v>
      </c>
    </row>
    <row r="29" spans="2:8" x14ac:dyDescent="0.2">
      <c r="B29" s="540" t="s">
        <v>283</v>
      </c>
      <c r="C29" s="1060">
        <v>10</v>
      </c>
      <c r="D29" s="1061">
        <v>0.25</v>
      </c>
      <c r="E29" s="1060" t="s">
        <v>387</v>
      </c>
      <c r="F29" s="1060" t="s">
        <v>354</v>
      </c>
      <c r="G29" s="1060" t="s">
        <v>375</v>
      </c>
      <c r="H29" s="1060" t="s">
        <v>384</v>
      </c>
    </row>
    <row r="30" spans="2:8" x14ac:dyDescent="0.2">
      <c r="B30" s="415" t="s">
        <v>283</v>
      </c>
      <c r="C30" s="75" t="s">
        <v>1878</v>
      </c>
      <c r="D30" s="78">
        <v>0.375</v>
      </c>
      <c r="E30" s="75" t="s">
        <v>388</v>
      </c>
      <c r="F30" s="1092" t="s">
        <v>354</v>
      </c>
      <c r="G30" s="75" t="s">
        <v>370</v>
      </c>
      <c r="H30" s="75" t="s">
        <v>374</v>
      </c>
    </row>
    <row r="31" spans="2:8" x14ac:dyDescent="0.2">
      <c r="B31" s="540" t="s">
        <v>284</v>
      </c>
      <c r="C31" s="1060">
        <v>10</v>
      </c>
      <c r="D31" s="1061">
        <v>0.25</v>
      </c>
      <c r="E31" s="1060" t="s">
        <v>389</v>
      </c>
      <c r="F31" s="1060" t="s">
        <v>354</v>
      </c>
      <c r="G31" s="1060" t="s">
        <v>377</v>
      </c>
      <c r="H31" s="1060" t="s">
        <v>372</v>
      </c>
    </row>
    <row r="32" spans="2:8" x14ac:dyDescent="0.2">
      <c r="B32" s="415" t="s">
        <v>284</v>
      </c>
      <c r="C32" s="75">
        <v>20</v>
      </c>
      <c r="D32" s="78">
        <v>0.375</v>
      </c>
      <c r="E32" s="75" t="s">
        <v>390</v>
      </c>
      <c r="F32" s="1092" t="s">
        <v>354</v>
      </c>
      <c r="G32" s="75" t="s">
        <v>384</v>
      </c>
      <c r="H32" s="75" t="s">
        <v>391</v>
      </c>
    </row>
    <row r="33" spans="2:8" x14ac:dyDescent="0.2">
      <c r="B33" s="540" t="s">
        <v>285</v>
      </c>
      <c r="C33" s="1060">
        <v>10</v>
      </c>
      <c r="D33" s="1061">
        <v>0.25</v>
      </c>
      <c r="E33" s="1060" t="s">
        <v>392</v>
      </c>
      <c r="F33" s="1060" t="s">
        <v>354</v>
      </c>
      <c r="G33" s="1060" t="s">
        <v>393</v>
      </c>
      <c r="H33" s="1060" t="s">
        <v>394</v>
      </c>
    </row>
    <row r="34" spans="2:8" x14ac:dyDescent="0.2">
      <c r="B34" s="415" t="s">
        <v>285</v>
      </c>
      <c r="C34" s="75">
        <v>20</v>
      </c>
      <c r="D34" s="78">
        <v>0.375</v>
      </c>
      <c r="E34" s="75" t="s">
        <v>351</v>
      </c>
      <c r="F34" s="1092" t="s">
        <v>354</v>
      </c>
      <c r="G34" s="75" t="s">
        <v>372</v>
      </c>
      <c r="H34" s="75" t="s">
        <v>376</v>
      </c>
    </row>
  </sheetData>
  <sheetProtection password="CDD2" sheet="1" objects="1" scenarios="1"/>
  <pageMargins left="0.75" right="0.75" top="1" bottom="1" header="0.5" footer="0.5"/>
  <pageSetup orientation="portrait" verticalDpi="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X68"/>
  <sheetViews>
    <sheetView showGridLines="0" zoomScale="90" workbookViewId="0"/>
  </sheetViews>
  <sheetFormatPr defaultRowHeight="12.75" x14ac:dyDescent="0.2"/>
  <cols>
    <col min="1" max="1" width="7.28515625" customWidth="1"/>
    <col min="2" max="2" width="6.7109375" customWidth="1"/>
    <col min="3" max="3" width="5.7109375" customWidth="1"/>
    <col min="4" max="4" width="5.140625" customWidth="1"/>
    <col min="5" max="5" width="5.42578125" customWidth="1"/>
    <col min="6" max="6" width="5.28515625" customWidth="1"/>
    <col min="7" max="7" width="4.85546875" customWidth="1"/>
    <col min="8" max="8" width="5.140625" customWidth="1"/>
    <col min="9" max="9" width="5.28515625" customWidth="1"/>
    <col min="10" max="10" width="5.140625" customWidth="1"/>
    <col min="11" max="12" width="5.42578125" customWidth="1"/>
    <col min="13" max="13" width="5.5703125" customWidth="1"/>
    <col min="14" max="14" width="5" customWidth="1"/>
    <col min="15" max="15" width="5.85546875" customWidth="1"/>
    <col min="16" max="16" width="6.140625" customWidth="1"/>
    <col min="17" max="17" width="6.28515625" customWidth="1"/>
    <col min="18" max="18" width="7.5703125" customWidth="1"/>
    <col min="19" max="19" width="6.140625" customWidth="1"/>
    <col min="20" max="20" width="6.5703125" customWidth="1"/>
    <col min="21" max="21" width="6" customWidth="1"/>
    <col min="22" max="22" width="5.28515625" customWidth="1"/>
    <col min="23" max="23" width="5.140625" customWidth="1"/>
    <col min="24" max="24" width="7.140625" customWidth="1"/>
  </cols>
  <sheetData>
    <row r="8" spans="1:24" x14ac:dyDescent="0.2">
      <c r="S8" s="15"/>
    </row>
    <row r="9" spans="1:24" x14ac:dyDescent="0.2">
      <c r="Q9" s="15"/>
    </row>
    <row r="12" spans="1:24" ht="18.75" thickBot="1" x14ac:dyDescent="0.3">
      <c r="B12" s="389" t="s">
        <v>1892</v>
      </c>
    </row>
    <row r="13" spans="1:24" ht="17.25" thickTop="1" thickBot="1" x14ac:dyDescent="0.3">
      <c r="A13" s="502" t="s">
        <v>1867</v>
      </c>
      <c r="B13" s="503"/>
      <c r="C13" s="504"/>
      <c r="D13" s="504"/>
      <c r="E13" s="504"/>
      <c r="F13" s="505" t="s">
        <v>1868</v>
      </c>
      <c r="G13" s="504"/>
      <c r="H13" s="504"/>
      <c r="I13" s="504"/>
      <c r="J13" s="504"/>
      <c r="K13" s="504"/>
      <c r="L13" s="504"/>
      <c r="M13" s="504"/>
      <c r="N13" s="504"/>
      <c r="O13" s="506"/>
      <c r="P13" s="507"/>
      <c r="Q13" s="508"/>
      <c r="R13" s="508"/>
      <c r="S13" s="508"/>
      <c r="T13" s="508"/>
      <c r="U13" s="508"/>
      <c r="V13" s="509" t="s">
        <v>1869</v>
      </c>
      <c r="W13" s="507"/>
      <c r="X13" s="508"/>
    </row>
    <row r="14" spans="1:24" ht="14.25" thickTop="1" thickBot="1" x14ac:dyDescent="0.25">
      <c r="A14" s="510" t="s">
        <v>1556</v>
      </c>
      <c r="B14" s="511" t="s">
        <v>1556</v>
      </c>
      <c r="C14" s="511" t="s">
        <v>1870</v>
      </c>
      <c r="D14" s="511" t="s">
        <v>1871</v>
      </c>
      <c r="E14" s="511" t="s">
        <v>1871</v>
      </c>
      <c r="F14" s="511" t="s">
        <v>1871</v>
      </c>
      <c r="G14" s="511" t="s">
        <v>1871</v>
      </c>
      <c r="H14" s="511" t="s">
        <v>1871</v>
      </c>
      <c r="I14" s="511" t="s">
        <v>1871</v>
      </c>
      <c r="J14" s="511" t="s">
        <v>1871</v>
      </c>
      <c r="K14" s="511" t="s">
        <v>1871</v>
      </c>
      <c r="L14" s="511" t="s">
        <v>1871</v>
      </c>
      <c r="M14" s="511" t="s">
        <v>1871</v>
      </c>
      <c r="N14" s="511" t="s">
        <v>1871</v>
      </c>
      <c r="O14" s="511" t="s">
        <v>1871</v>
      </c>
      <c r="P14" s="510" t="s">
        <v>1872</v>
      </c>
      <c r="Q14" s="512" t="s">
        <v>1873</v>
      </c>
      <c r="R14" s="513" t="s">
        <v>1874</v>
      </c>
      <c r="S14" s="514" t="s">
        <v>1769</v>
      </c>
      <c r="T14" s="515" t="s">
        <v>1875</v>
      </c>
      <c r="U14" s="513" t="s">
        <v>1876</v>
      </c>
      <c r="V14" s="595" t="s">
        <v>30</v>
      </c>
      <c r="W14" s="516"/>
      <c r="X14" s="513" t="s">
        <v>1877</v>
      </c>
    </row>
    <row r="15" spans="1:24" ht="14.25" thickTop="1" thickBot="1" x14ac:dyDescent="0.25">
      <c r="A15" s="517" t="s">
        <v>894</v>
      </c>
      <c r="B15" s="518" t="s">
        <v>1534</v>
      </c>
      <c r="C15" s="518" t="s">
        <v>1482</v>
      </c>
      <c r="D15" s="518">
        <v>20</v>
      </c>
      <c r="E15" s="518">
        <v>30</v>
      </c>
      <c r="F15" s="519" t="s">
        <v>1878</v>
      </c>
      <c r="G15" s="518">
        <v>40</v>
      </c>
      <c r="H15" s="518">
        <v>60</v>
      </c>
      <c r="I15" s="518" t="s">
        <v>1541</v>
      </c>
      <c r="J15" s="518">
        <v>80</v>
      </c>
      <c r="K15" s="518">
        <v>100</v>
      </c>
      <c r="L15" s="518">
        <v>120</v>
      </c>
      <c r="M15" s="518">
        <v>140</v>
      </c>
      <c r="N15" s="518">
        <v>160</v>
      </c>
      <c r="O15" s="518" t="s">
        <v>1879</v>
      </c>
      <c r="P15" s="519" t="s">
        <v>1880</v>
      </c>
      <c r="Q15" s="785" t="s">
        <v>1880</v>
      </c>
      <c r="R15" s="518" t="s">
        <v>1880</v>
      </c>
      <c r="S15" s="787" t="s">
        <v>1880</v>
      </c>
      <c r="T15" s="786" t="s">
        <v>1880</v>
      </c>
      <c r="U15" s="518" t="s">
        <v>1880</v>
      </c>
      <c r="V15" s="520" t="s">
        <v>1881</v>
      </c>
      <c r="W15" s="520" t="s">
        <v>1882</v>
      </c>
      <c r="X15" s="518" t="s">
        <v>1880</v>
      </c>
    </row>
    <row r="16" spans="1:24" ht="13.5" thickTop="1" x14ac:dyDescent="0.2">
      <c r="A16" s="521">
        <v>0.5</v>
      </c>
      <c r="B16" s="525">
        <v>0.84</v>
      </c>
      <c r="C16" s="522">
        <v>8.3000000000000004E-2</v>
      </c>
      <c r="D16" s="523"/>
      <c r="E16" s="523"/>
      <c r="F16" s="524">
        <v>0.109</v>
      </c>
      <c r="G16" s="524">
        <v>0.109</v>
      </c>
      <c r="H16" s="523"/>
      <c r="I16" s="525">
        <v>0.14699999999999999</v>
      </c>
      <c r="J16" s="524">
        <v>0.14699999999999999</v>
      </c>
      <c r="K16" s="523"/>
      <c r="L16" s="523"/>
      <c r="M16" s="523"/>
      <c r="N16" s="524">
        <v>0.188</v>
      </c>
      <c r="O16" s="524">
        <v>0.29399999999999998</v>
      </c>
      <c r="P16" s="526">
        <v>1.5</v>
      </c>
      <c r="Q16" s="527">
        <v>0.625</v>
      </c>
      <c r="R16" s="528">
        <v>1.875</v>
      </c>
      <c r="S16" s="529"/>
      <c r="T16" s="529"/>
      <c r="U16" s="530">
        <v>1</v>
      </c>
      <c r="V16" s="530">
        <v>3</v>
      </c>
      <c r="W16" s="530">
        <v>2</v>
      </c>
      <c r="X16" s="528">
        <v>1.375</v>
      </c>
    </row>
    <row r="17" spans="1:24" x14ac:dyDescent="0.2">
      <c r="A17" s="531">
        <v>0.75</v>
      </c>
      <c r="B17" s="534">
        <v>1.05</v>
      </c>
      <c r="C17" s="532">
        <v>8.3000000000000004E-2</v>
      </c>
      <c r="D17" s="533"/>
      <c r="E17" s="533"/>
      <c r="F17" s="534">
        <v>0.113</v>
      </c>
      <c r="G17" s="534">
        <v>0.113</v>
      </c>
      <c r="H17" s="533"/>
      <c r="I17" s="534">
        <v>0.154</v>
      </c>
      <c r="J17" s="534">
        <v>0.154</v>
      </c>
      <c r="K17" s="533"/>
      <c r="L17" s="533"/>
      <c r="M17" s="533"/>
      <c r="N17" s="534">
        <v>0.219</v>
      </c>
      <c r="O17" s="534">
        <v>0.308</v>
      </c>
      <c r="P17" s="535">
        <v>1.125</v>
      </c>
      <c r="Q17" s="536">
        <v>0.4375</v>
      </c>
      <c r="R17" s="537">
        <v>1.6875</v>
      </c>
      <c r="S17" s="538"/>
      <c r="T17" s="538"/>
      <c r="U17" s="539">
        <v>1</v>
      </c>
      <c r="V17" s="539">
        <v>3</v>
      </c>
      <c r="W17" s="539">
        <v>2</v>
      </c>
      <c r="X17" s="537">
        <v>1.6875</v>
      </c>
    </row>
    <row r="18" spans="1:24" x14ac:dyDescent="0.2">
      <c r="A18" s="540">
        <v>1</v>
      </c>
      <c r="B18" s="534">
        <v>1.3149999999999999</v>
      </c>
      <c r="C18" s="532">
        <v>0.109</v>
      </c>
      <c r="D18" s="533"/>
      <c r="E18" s="533"/>
      <c r="F18" s="534">
        <v>0.13300000000000001</v>
      </c>
      <c r="G18" s="534">
        <v>0.13300000000000001</v>
      </c>
      <c r="H18" s="533"/>
      <c r="I18" s="534">
        <v>0.17899999999999999</v>
      </c>
      <c r="J18" s="534">
        <v>0.17899999999999999</v>
      </c>
      <c r="K18" s="533"/>
      <c r="L18" s="533"/>
      <c r="M18" s="533"/>
      <c r="N18" s="534">
        <v>0.25</v>
      </c>
      <c r="O18" s="534">
        <v>0.35799999999999998</v>
      </c>
      <c r="P18" s="535">
        <v>1.5</v>
      </c>
      <c r="Q18" s="536">
        <v>0.875</v>
      </c>
      <c r="R18" s="537">
        <v>2.1875</v>
      </c>
      <c r="S18" s="541">
        <v>1</v>
      </c>
      <c r="T18" s="542">
        <v>1.625</v>
      </c>
      <c r="U18" s="543">
        <v>1.5</v>
      </c>
      <c r="V18" s="539">
        <v>4</v>
      </c>
      <c r="W18" s="539">
        <v>2</v>
      </c>
      <c r="X18" s="539">
        <v>2</v>
      </c>
    </row>
    <row r="19" spans="1:24" x14ac:dyDescent="0.2">
      <c r="A19" s="531">
        <v>1.25</v>
      </c>
      <c r="B19" s="534">
        <v>1.66</v>
      </c>
      <c r="C19" s="532">
        <v>0.109</v>
      </c>
      <c r="D19" s="533"/>
      <c r="E19" s="533"/>
      <c r="F19" s="534">
        <v>0.14000000000000001</v>
      </c>
      <c r="G19" s="534">
        <v>0.14000000000000001</v>
      </c>
      <c r="H19" s="533"/>
      <c r="I19" s="534">
        <v>0.191</v>
      </c>
      <c r="J19" s="534">
        <v>0.191</v>
      </c>
      <c r="K19" s="533"/>
      <c r="L19" s="533"/>
      <c r="M19" s="533"/>
      <c r="N19" s="534">
        <v>0.25</v>
      </c>
      <c r="O19" s="534">
        <v>0.38200000000000001</v>
      </c>
      <c r="P19" s="535">
        <v>1.875</v>
      </c>
      <c r="Q19" s="544">
        <v>1</v>
      </c>
      <c r="R19" s="543">
        <v>2.75</v>
      </c>
      <c r="S19" s="545">
        <v>1.25</v>
      </c>
      <c r="T19" s="546" t="s">
        <v>1883</v>
      </c>
      <c r="U19" s="543">
        <v>1.5</v>
      </c>
      <c r="V19" s="539">
        <v>4</v>
      </c>
      <c r="W19" s="539">
        <v>2</v>
      </c>
      <c r="X19" s="543">
        <v>2.5</v>
      </c>
    </row>
    <row r="20" spans="1:24" ht="13.5" thickBot="1" x14ac:dyDescent="0.25">
      <c r="A20" s="547">
        <v>1.5</v>
      </c>
      <c r="B20" s="551">
        <v>1.9</v>
      </c>
      <c r="C20" s="548">
        <v>0.109</v>
      </c>
      <c r="D20" s="549"/>
      <c r="E20" s="549"/>
      <c r="F20" s="550">
        <v>0.14499999999999999</v>
      </c>
      <c r="G20" s="550">
        <v>0.14499999999999999</v>
      </c>
      <c r="H20" s="549"/>
      <c r="I20" s="551">
        <v>0.2</v>
      </c>
      <c r="J20" s="550">
        <v>0.2</v>
      </c>
      <c r="K20" s="549"/>
      <c r="L20" s="549"/>
      <c r="M20" s="549"/>
      <c r="N20" s="550">
        <v>0.28100000000000003</v>
      </c>
      <c r="O20" s="550">
        <v>0.4</v>
      </c>
      <c r="P20" s="552">
        <v>2.25</v>
      </c>
      <c r="Q20" s="553">
        <v>1.125</v>
      </c>
      <c r="R20" s="554">
        <v>3.25</v>
      </c>
      <c r="S20" s="555">
        <v>1.5</v>
      </c>
      <c r="T20" s="556" t="s">
        <v>1884</v>
      </c>
      <c r="U20" s="554">
        <v>1.5</v>
      </c>
      <c r="V20" s="557">
        <v>4</v>
      </c>
      <c r="W20" s="557">
        <v>2</v>
      </c>
      <c r="X20" s="554">
        <v>2.875</v>
      </c>
    </row>
    <row r="21" spans="1:24" ht="13.5" thickTop="1" x14ac:dyDescent="0.2">
      <c r="A21" s="558">
        <v>2</v>
      </c>
      <c r="B21" s="525">
        <v>2.375</v>
      </c>
      <c r="C21" s="522">
        <v>0.109</v>
      </c>
      <c r="D21" s="523"/>
      <c r="E21" s="523"/>
      <c r="F21" s="559">
        <v>0.154</v>
      </c>
      <c r="G21" s="559">
        <v>0.154</v>
      </c>
      <c r="H21" s="523"/>
      <c r="I21" s="525">
        <v>0.218</v>
      </c>
      <c r="J21" s="559">
        <v>0.218</v>
      </c>
      <c r="K21" s="523"/>
      <c r="L21" s="523"/>
      <c r="M21" s="523"/>
      <c r="N21" s="559">
        <v>0.34399999999999997</v>
      </c>
      <c r="O21" s="559">
        <v>0.436</v>
      </c>
      <c r="P21" s="560">
        <v>3</v>
      </c>
      <c r="Q21" s="561">
        <v>1.375</v>
      </c>
      <c r="R21" s="562">
        <v>4.1875</v>
      </c>
      <c r="S21" s="563">
        <v>2</v>
      </c>
      <c r="T21" s="564" t="s">
        <v>1885</v>
      </c>
      <c r="U21" s="565">
        <v>1.5</v>
      </c>
      <c r="V21" s="566">
        <v>6</v>
      </c>
      <c r="W21" s="565">
        <v>2.5</v>
      </c>
      <c r="X21" s="565">
        <v>3.625</v>
      </c>
    </row>
    <row r="22" spans="1:24" x14ac:dyDescent="0.2">
      <c r="A22" s="531">
        <v>2.5</v>
      </c>
      <c r="B22" s="534">
        <v>2.875</v>
      </c>
      <c r="C22" s="534">
        <v>0.12</v>
      </c>
      <c r="D22" s="533"/>
      <c r="E22" s="533"/>
      <c r="F22" s="534">
        <v>0.20300000000000001</v>
      </c>
      <c r="G22" s="534">
        <v>0.20300000000000001</v>
      </c>
      <c r="H22" s="533"/>
      <c r="I22" s="534">
        <v>0.27600000000000002</v>
      </c>
      <c r="J22" s="534">
        <v>0.27600000000000002</v>
      </c>
      <c r="K22" s="533"/>
      <c r="L22" s="533"/>
      <c r="M22" s="533"/>
      <c r="N22" s="534">
        <v>0.375</v>
      </c>
      <c r="O22" s="534">
        <v>0.55200000000000005</v>
      </c>
      <c r="P22" s="535">
        <v>3.75</v>
      </c>
      <c r="Q22" s="567">
        <v>1.75</v>
      </c>
      <c r="R22" s="537">
        <v>5.1875</v>
      </c>
      <c r="S22" s="545">
        <v>2.5</v>
      </c>
      <c r="T22" s="546" t="s">
        <v>1886</v>
      </c>
      <c r="U22" s="543">
        <v>1.5</v>
      </c>
      <c r="V22" s="539">
        <v>6</v>
      </c>
      <c r="W22" s="543">
        <v>2.5</v>
      </c>
      <c r="X22" s="543">
        <v>4.125</v>
      </c>
    </row>
    <row r="23" spans="1:24" x14ac:dyDescent="0.2">
      <c r="A23" s="540">
        <v>3</v>
      </c>
      <c r="B23" s="534">
        <v>3.5</v>
      </c>
      <c r="C23" s="533"/>
      <c r="D23" s="533"/>
      <c r="E23" s="533"/>
      <c r="F23" s="534">
        <v>0.216</v>
      </c>
      <c r="G23" s="534">
        <v>0.216</v>
      </c>
      <c r="H23" s="533"/>
      <c r="I23" s="534">
        <v>0.3</v>
      </c>
      <c r="J23" s="534">
        <v>0.3</v>
      </c>
      <c r="K23" s="533"/>
      <c r="L23" s="533"/>
      <c r="M23" s="533"/>
      <c r="N23" s="534">
        <v>0.438</v>
      </c>
      <c r="O23" s="534">
        <v>0.6</v>
      </c>
      <c r="P23" s="535">
        <v>4.5</v>
      </c>
      <c r="Q23" s="544">
        <v>2</v>
      </c>
      <c r="R23" s="543">
        <v>6.25</v>
      </c>
      <c r="S23" s="541">
        <v>3</v>
      </c>
      <c r="T23" s="542">
        <v>4.75</v>
      </c>
      <c r="U23" s="539">
        <v>2</v>
      </c>
      <c r="V23" s="539">
        <v>6</v>
      </c>
      <c r="W23" s="543">
        <v>2.5</v>
      </c>
      <c r="X23" s="539">
        <v>5</v>
      </c>
    </row>
    <row r="24" spans="1:24" ht="13.5" thickBot="1" x14ac:dyDescent="0.25">
      <c r="A24" s="547">
        <v>3.5</v>
      </c>
      <c r="B24" s="551">
        <v>4</v>
      </c>
      <c r="C24" s="549"/>
      <c r="D24" s="549"/>
      <c r="E24" s="549"/>
      <c r="F24" s="550">
        <v>0.22600000000000001</v>
      </c>
      <c r="G24" s="550">
        <v>0.22600000000000001</v>
      </c>
      <c r="H24" s="549"/>
      <c r="I24" s="551">
        <v>0.318</v>
      </c>
      <c r="J24" s="550">
        <v>0.318</v>
      </c>
      <c r="K24" s="549"/>
      <c r="L24" s="549"/>
      <c r="M24" s="549"/>
      <c r="N24" s="549"/>
      <c r="O24" s="550">
        <v>0.63600000000000001</v>
      </c>
      <c r="P24" s="552">
        <v>5.25</v>
      </c>
      <c r="Q24" s="553">
        <v>2.25</v>
      </c>
      <c r="R24" s="554">
        <v>7.25</v>
      </c>
      <c r="S24" s="555">
        <v>3.5</v>
      </c>
      <c r="T24" s="568">
        <v>5.5</v>
      </c>
      <c r="U24" s="554">
        <v>2.5</v>
      </c>
      <c r="V24" s="557">
        <v>6</v>
      </c>
      <c r="W24" s="557">
        <v>3</v>
      </c>
      <c r="X24" s="554">
        <v>5.5</v>
      </c>
    </row>
    <row r="25" spans="1:24" ht="13.5" thickTop="1" x14ac:dyDescent="0.2">
      <c r="A25" s="558">
        <v>4</v>
      </c>
      <c r="B25" s="525">
        <v>4.5</v>
      </c>
      <c r="C25" s="523"/>
      <c r="D25" s="523"/>
      <c r="E25" s="523"/>
      <c r="F25" s="559">
        <v>0.23699999999999999</v>
      </c>
      <c r="G25" s="559">
        <v>0.23699999999999999</v>
      </c>
      <c r="H25" s="523"/>
      <c r="I25" s="525">
        <v>0.33700000000000002</v>
      </c>
      <c r="J25" s="559">
        <v>0.33700000000000002</v>
      </c>
      <c r="K25" s="523"/>
      <c r="L25" s="559">
        <v>0.438</v>
      </c>
      <c r="M25" s="523"/>
      <c r="N25" s="559">
        <v>0.53100000000000003</v>
      </c>
      <c r="O25" s="559">
        <v>0.67400000000000004</v>
      </c>
      <c r="P25" s="560">
        <v>6</v>
      </c>
      <c r="Q25" s="561">
        <v>2.5</v>
      </c>
      <c r="R25" s="565">
        <v>8.25</v>
      </c>
      <c r="S25" s="563">
        <v>4</v>
      </c>
      <c r="T25" s="569">
        <v>6.25</v>
      </c>
      <c r="U25" s="565">
        <v>2.5</v>
      </c>
      <c r="V25" s="566">
        <v>6</v>
      </c>
      <c r="W25" s="566">
        <v>3</v>
      </c>
      <c r="X25" s="570" t="s">
        <v>1887</v>
      </c>
    </row>
    <row r="26" spans="1:24" x14ac:dyDescent="0.2">
      <c r="A26" s="540">
        <v>5</v>
      </c>
      <c r="B26" s="534">
        <v>5.5629999999999997</v>
      </c>
      <c r="C26" s="533"/>
      <c r="D26" s="533"/>
      <c r="E26" s="533"/>
      <c r="F26" s="534">
        <v>0.25800000000000001</v>
      </c>
      <c r="G26" s="534">
        <v>0.25800000000000001</v>
      </c>
      <c r="H26" s="533"/>
      <c r="I26" s="534">
        <v>0.375</v>
      </c>
      <c r="J26" s="534">
        <v>0.375</v>
      </c>
      <c r="K26" s="533"/>
      <c r="L26" s="534">
        <v>0.5</v>
      </c>
      <c r="M26" s="533"/>
      <c r="N26" s="534">
        <v>0.625</v>
      </c>
      <c r="O26" s="534">
        <v>0.75</v>
      </c>
      <c r="P26" s="535">
        <v>7.5</v>
      </c>
      <c r="Q26" s="567">
        <v>3.125</v>
      </c>
      <c r="R26" s="537">
        <v>10.3125</v>
      </c>
      <c r="S26" s="541">
        <v>5</v>
      </c>
      <c r="T26" s="542">
        <v>7.75</v>
      </c>
      <c r="U26" s="539">
        <v>3</v>
      </c>
      <c r="V26" s="539">
        <v>8</v>
      </c>
      <c r="W26" s="571">
        <v>3</v>
      </c>
      <c r="X26" s="572" t="s">
        <v>1888</v>
      </c>
    </row>
    <row r="27" spans="1:24" x14ac:dyDescent="0.2">
      <c r="A27" s="540">
        <v>6</v>
      </c>
      <c r="B27" s="534">
        <v>6.625</v>
      </c>
      <c r="C27" s="533"/>
      <c r="D27" s="533"/>
      <c r="E27" s="533"/>
      <c r="F27" s="534">
        <v>0.28000000000000003</v>
      </c>
      <c r="G27" s="534">
        <v>0.28000000000000003</v>
      </c>
      <c r="H27" s="533"/>
      <c r="I27" s="534">
        <v>0.432</v>
      </c>
      <c r="J27" s="534">
        <v>0.432</v>
      </c>
      <c r="K27" s="533"/>
      <c r="L27" s="534">
        <v>0.56200000000000006</v>
      </c>
      <c r="M27" s="533"/>
      <c r="N27" s="534">
        <v>0.71899999999999997</v>
      </c>
      <c r="O27" s="534">
        <v>0.86399999999999999</v>
      </c>
      <c r="P27" s="573">
        <v>9</v>
      </c>
      <c r="Q27" s="567">
        <v>3.75</v>
      </c>
      <c r="R27" s="537">
        <v>12.3125</v>
      </c>
      <c r="S27" s="541">
        <v>6</v>
      </c>
      <c r="T27" s="546" t="s">
        <v>1889</v>
      </c>
      <c r="U27" s="543">
        <v>3.5</v>
      </c>
      <c r="V27" s="539">
        <v>8</v>
      </c>
      <c r="W27" s="543">
        <v>3.5</v>
      </c>
      <c r="X27" s="543">
        <v>8.5</v>
      </c>
    </row>
    <row r="28" spans="1:24" ht="13.5" thickBot="1" x14ac:dyDescent="0.25">
      <c r="A28" s="574">
        <v>8</v>
      </c>
      <c r="B28" s="551">
        <v>8.625</v>
      </c>
      <c r="C28" s="549"/>
      <c r="D28" s="550">
        <v>0.25</v>
      </c>
      <c r="E28" s="551">
        <v>0.27700000000000002</v>
      </c>
      <c r="F28" s="550">
        <v>0.32200000000000001</v>
      </c>
      <c r="G28" s="550">
        <v>0.32200000000000001</v>
      </c>
      <c r="H28" s="550">
        <v>0.40600000000000003</v>
      </c>
      <c r="I28" s="551">
        <v>0.5</v>
      </c>
      <c r="J28" s="550">
        <v>0.5</v>
      </c>
      <c r="K28" s="551">
        <v>0.59399999999999997</v>
      </c>
      <c r="L28" s="550">
        <v>0.71899999999999997</v>
      </c>
      <c r="M28" s="550">
        <v>0.81200000000000006</v>
      </c>
      <c r="N28" s="550">
        <v>0.90600000000000003</v>
      </c>
      <c r="O28" s="550">
        <v>0.875</v>
      </c>
      <c r="P28" s="575">
        <v>12</v>
      </c>
      <c r="Q28" s="576">
        <v>5</v>
      </c>
      <c r="R28" s="577">
        <v>16.3125</v>
      </c>
      <c r="S28" s="578">
        <v>8</v>
      </c>
      <c r="T28" s="556" t="s">
        <v>1890</v>
      </c>
      <c r="U28" s="557">
        <v>4</v>
      </c>
      <c r="V28" s="557">
        <v>8</v>
      </c>
      <c r="W28" s="557">
        <v>4</v>
      </c>
      <c r="X28" s="554">
        <v>10.625</v>
      </c>
    </row>
    <row r="29" spans="1:24" ht="13.5" thickTop="1" x14ac:dyDescent="0.2">
      <c r="A29" s="558">
        <v>10</v>
      </c>
      <c r="B29" s="525">
        <v>10.75</v>
      </c>
      <c r="C29" s="523"/>
      <c r="D29" s="559">
        <v>0.25</v>
      </c>
      <c r="E29" s="525">
        <v>0.307</v>
      </c>
      <c r="F29" s="559">
        <v>0.36499999999999999</v>
      </c>
      <c r="G29" s="525">
        <v>0.36499999999999999</v>
      </c>
      <c r="H29" s="559">
        <v>0.5</v>
      </c>
      <c r="I29" s="525">
        <v>0.5</v>
      </c>
      <c r="J29" s="559">
        <v>0.59399999999999997</v>
      </c>
      <c r="K29" s="525">
        <v>0.71899999999999997</v>
      </c>
      <c r="L29" s="559">
        <v>0.84399999999999997</v>
      </c>
      <c r="M29" s="559">
        <v>1</v>
      </c>
      <c r="N29" s="559">
        <v>1.125</v>
      </c>
      <c r="O29" s="559">
        <v>1</v>
      </c>
      <c r="P29" s="560">
        <v>15</v>
      </c>
      <c r="Q29" s="561">
        <v>6.25</v>
      </c>
      <c r="R29" s="565">
        <v>20.375</v>
      </c>
      <c r="S29" s="563">
        <v>10</v>
      </c>
      <c r="T29" s="569">
        <v>15.375</v>
      </c>
      <c r="U29" s="566">
        <v>5</v>
      </c>
      <c r="V29" s="566">
        <v>10</v>
      </c>
      <c r="W29" s="566">
        <v>5</v>
      </c>
      <c r="X29" s="565">
        <v>12.75</v>
      </c>
    </row>
    <row r="30" spans="1:24" x14ac:dyDescent="0.2">
      <c r="A30" s="540">
        <v>12</v>
      </c>
      <c r="B30" s="534">
        <v>12.75</v>
      </c>
      <c r="C30" s="533"/>
      <c r="D30" s="534">
        <v>0.25</v>
      </c>
      <c r="E30" s="534">
        <v>0.33</v>
      </c>
      <c r="F30" s="534">
        <v>0.375</v>
      </c>
      <c r="G30" s="534">
        <v>0.40600000000000003</v>
      </c>
      <c r="H30" s="534">
        <v>0.56200000000000006</v>
      </c>
      <c r="I30" s="534">
        <v>0.5</v>
      </c>
      <c r="J30" s="534">
        <v>0.68799999999999994</v>
      </c>
      <c r="K30" s="534">
        <v>0.84399999999999997</v>
      </c>
      <c r="L30" s="534">
        <v>1</v>
      </c>
      <c r="M30" s="534">
        <v>1.125</v>
      </c>
      <c r="N30" s="534">
        <v>1.3120000000000001</v>
      </c>
      <c r="O30" s="534">
        <v>1</v>
      </c>
      <c r="P30" s="573">
        <v>18</v>
      </c>
      <c r="Q30" s="567">
        <v>7.5</v>
      </c>
      <c r="R30" s="543">
        <v>24.375</v>
      </c>
      <c r="S30" s="541">
        <v>12</v>
      </c>
      <c r="T30" s="542">
        <v>18.375</v>
      </c>
      <c r="U30" s="539">
        <v>6</v>
      </c>
      <c r="V30" s="539">
        <v>10</v>
      </c>
      <c r="W30" s="539">
        <v>6</v>
      </c>
      <c r="X30" s="539">
        <v>15</v>
      </c>
    </row>
    <row r="31" spans="1:24" x14ac:dyDescent="0.2">
      <c r="A31" s="540">
        <v>14</v>
      </c>
      <c r="B31" s="534">
        <v>14</v>
      </c>
      <c r="C31" s="533"/>
      <c r="D31" s="534">
        <v>0.312</v>
      </c>
      <c r="E31" s="534">
        <v>0.375</v>
      </c>
      <c r="F31" s="534">
        <v>0.375</v>
      </c>
      <c r="G31" s="534">
        <v>0.438</v>
      </c>
      <c r="H31" s="534">
        <v>0.59399999999999997</v>
      </c>
      <c r="I31" s="534">
        <v>0.5</v>
      </c>
      <c r="J31" s="534">
        <v>0.75</v>
      </c>
      <c r="K31" s="534">
        <v>0.93799999999999994</v>
      </c>
      <c r="L31" s="534">
        <v>1.0940000000000001</v>
      </c>
      <c r="M31" s="534">
        <v>1.25</v>
      </c>
      <c r="N31" s="534">
        <v>1.4059999999999999</v>
      </c>
      <c r="O31" s="533"/>
      <c r="P31" s="573">
        <v>21</v>
      </c>
      <c r="Q31" s="567">
        <v>8.75</v>
      </c>
      <c r="R31" s="539">
        <v>28</v>
      </c>
      <c r="S31" s="541">
        <v>14</v>
      </c>
      <c r="T31" s="579">
        <v>21</v>
      </c>
      <c r="U31" s="543">
        <v>6.5</v>
      </c>
      <c r="V31" s="539">
        <v>12</v>
      </c>
      <c r="W31" s="538"/>
      <c r="X31" s="543">
        <v>16.25</v>
      </c>
    </row>
    <row r="32" spans="1:24" ht="13.5" thickBot="1" x14ac:dyDescent="0.25">
      <c r="A32" s="574">
        <v>16</v>
      </c>
      <c r="B32" s="551">
        <v>16</v>
      </c>
      <c r="C32" s="549"/>
      <c r="D32" s="550">
        <v>0.312</v>
      </c>
      <c r="E32" s="551">
        <v>0.375</v>
      </c>
      <c r="F32" s="550">
        <v>0.375</v>
      </c>
      <c r="G32" s="551">
        <v>0.5</v>
      </c>
      <c r="H32" s="550">
        <v>0.65600000000000003</v>
      </c>
      <c r="I32" s="551">
        <v>0.5</v>
      </c>
      <c r="J32" s="550">
        <v>0.84399999999999997</v>
      </c>
      <c r="K32" s="551">
        <v>1.0309999999999999</v>
      </c>
      <c r="L32" s="550">
        <v>1.2190000000000001</v>
      </c>
      <c r="M32" s="550">
        <v>1.4379999999999999</v>
      </c>
      <c r="N32" s="550">
        <v>1.5940000000000001</v>
      </c>
      <c r="O32" s="549"/>
      <c r="P32" s="575">
        <v>24</v>
      </c>
      <c r="Q32" s="576">
        <v>10</v>
      </c>
      <c r="R32" s="557">
        <v>32</v>
      </c>
      <c r="S32" s="578">
        <v>16</v>
      </c>
      <c r="T32" s="580">
        <v>24</v>
      </c>
      <c r="U32" s="557">
        <v>7</v>
      </c>
      <c r="V32" s="557">
        <v>12</v>
      </c>
      <c r="W32" s="581"/>
      <c r="X32" s="554">
        <v>18.5</v>
      </c>
    </row>
    <row r="33" spans="1:24" ht="13.5" thickTop="1" x14ac:dyDescent="0.2">
      <c r="A33" s="558">
        <v>18</v>
      </c>
      <c r="B33" s="525">
        <v>18</v>
      </c>
      <c r="C33" s="523"/>
      <c r="D33" s="559">
        <v>0.312</v>
      </c>
      <c r="E33" s="525">
        <v>0.438</v>
      </c>
      <c r="F33" s="559">
        <v>0.375</v>
      </c>
      <c r="G33" s="525">
        <v>0.56200000000000006</v>
      </c>
      <c r="H33" s="559">
        <v>0.75</v>
      </c>
      <c r="I33" s="525">
        <v>0.5</v>
      </c>
      <c r="J33" s="559">
        <v>0.93799999999999994</v>
      </c>
      <c r="K33" s="525">
        <v>1.1559999999999999</v>
      </c>
      <c r="L33" s="559">
        <v>1.375</v>
      </c>
      <c r="M33" s="559">
        <v>1.5620000000000001</v>
      </c>
      <c r="N33" s="559">
        <v>1.7809999999999999</v>
      </c>
      <c r="O33" s="523"/>
      <c r="P33" s="560">
        <v>27</v>
      </c>
      <c r="Q33" s="561">
        <v>11.25</v>
      </c>
      <c r="R33" s="566">
        <v>36</v>
      </c>
      <c r="S33" s="563">
        <v>18</v>
      </c>
      <c r="T33" s="582">
        <v>27</v>
      </c>
      <c r="U33" s="566">
        <v>8</v>
      </c>
      <c r="V33" s="566">
        <v>12</v>
      </c>
      <c r="W33" s="529"/>
      <c r="X33" s="566">
        <v>21</v>
      </c>
    </row>
    <row r="34" spans="1:24" x14ac:dyDescent="0.2">
      <c r="A34" s="540">
        <v>20</v>
      </c>
      <c r="B34" s="534">
        <v>20</v>
      </c>
      <c r="C34" s="533"/>
      <c r="D34" s="534">
        <v>0.375</v>
      </c>
      <c r="E34" s="534">
        <v>0.5</v>
      </c>
      <c r="F34" s="534">
        <v>0.375</v>
      </c>
      <c r="G34" s="534">
        <v>0.59399999999999997</v>
      </c>
      <c r="H34" s="534">
        <v>0.81200000000000006</v>
      </c>
      <c r="I34" s="534">
        <v>0.5</v>
      </c>
      <c r="J34" s="534">
        <v>1.0309999999999999</v>
      </c>
      <c r="K34" s="534">
        <v>1.2809999999999999</v>
      </c>
      <c r="L34" s="534">
        <v>1.5</v>
      </c>
      <c r="M34" s="534">
        <v>1.75</v>
      </c>
      <c r="N34" s="534">
        <v>1.9690000000000001</v>
      </c>
      <c r="O34" s="533"/>
      <c r="P34" s="573">
        <v>30</v>
      </c>
      <c r="Q34" s="567">
        <v>12.5</v>
      </c>
      <c r="R34" s="539">
        <v>40</v>
      </c>
      <c r="S34" s="541">
        <v>20</v>
      </c>
      <c r="T34" s="579">
        <v>30</v>
      </c>
      <c r="U34" s="539">
        <v>9</v>
      </c>
      <c r="V34" s="539">
        <v>12</v>
      </c>
      <c r="W34" s="538"/>
      <c r="X34" s="539">
        <v>23</v>
      </c>
    </row>
    <row r="35" spans="1:24" x14ac:dyDescent="0.2">
      <c r="A35" s="540">
        <v>24</v>
      </c>
      <c r="B35" s="534">
        <v>24</v>
      </c>
      <c r="C35" s="533"/>
      <c r="D35" s="534">
        <v>0.375</v>
      </c>
      <c r="E35" s="534">
        <v>0.56200000000000006</v>
      </c>
      <c r="F35" s="534">
        <v>0.375</v>
      </c>
      <c r="G35" s="534">
        <v>0.68799999999999994</v>
      </c>
      <c r="H35" s="534">
        <v>0.96899999999999997</v>
      </c>
      <c r="I35" s="534">
        <v>0.5</v>
      </c>
      <c r="J35" s="534">
        <v>1.2190000000000001</v>
      </c>
      <c r="K35" s="534">
        <v>1.5309999999999999</v>
      </c>
      <c r="L35" s="534">
        <v>1.8120000000000001</v>
      </c>
      <c r="M35" s="534">
        <v>2.0619999999999998</v>
      </c>
      <c r="N35" s="534">
        <v>2.3439999999999999</v>
      </c>
      <c r="O35" s="533"/>
      <c r="P35" s="573">
        <v>36</v>
      </c>
      <c r="Q35" s="583">
        <v>15</v>
      </c>
      <c r="R35" s="539">
        <v>48</v>
      </c>
      <c r="S35" s="541">
        <v>24</v>
      </c>
      <c r="T35" s="579">
        <v>36</v>
      </c>
      <c r="U35" s="543">
        <v>10.5</v>
      </c>
      <c r="V35" s="539">
        <v>12</v>
      </c>
      <c r="W35" s="538"/>
      <c r="X35" s="543">
        <v>27.25</v>
      </c>
    </row>
    <row r="36" spans="1:24" ht="13.5" thickBot="1" x14ac:dyDescent="0.25">
      <c r="A36" s="574">
        <v>30</v>
      </c>
      <c r="B36" s="551">
        <v>30</v>
      </c>
      <c r="C36" s="549"/>
      <c r="D36" s="550">
        <v>0.5</v>
      </c>
      <c r="E36" s="551">
        <v>0.625</v>
      </c>
      <c r="F36" s="550">
        <v>0.375</v>
      </c>
      <c r="G36" s="549"/>
      <c r="H36" s="549"/>
      <c r="I36" s="551">
        <v>0.5</v>
      </c>
      <c r="J36" s="549"/>
      <c r="K36" s="549"/>
      <c r="L36" s="549"/>
      <c r="M36" s="549"/>
      <c r="N36" s="549"/>
      <c r="O36" s="549"/>
      <c r="P36" s="575">
        <v>45</v>
      </c>
      <c r="Q36" s="553">
        <v>18.5</v>
      </c>
      <c r="R36" s="557">
        <v>60</v>
      </c>
      <c r="S36" s="578">
        <v>30</v>
      </c>
      <c r="T36" s="580">
        <v>45</v>
      </c>
      <c r="U36" s="554">
        <v>10.5</v>
      </c>
      <c r="V36" s="581"/>
      <c r="W36" s="581"/>
      <c r="X36" s="581"/>
    </row>
    <row r="37" spans="1:24" ht="13.5" thickTop="1" x14ac:dyDescent="0.2">
      <c r="A37" s="558">
        <v>36</v>
      </c>
      <c r="B37" s="525">
        <v>36</v>
      </c>
      <c r="C37" s="523"/>
      <c r="D37" s="559">
        <v>0.5</v>
      </c>
      <c r="E37" s="525">
        <v>0.625</v>
      </c>
      <c r="F37" s="559">
        <v>0.375</v>
      </c>
      <c r="G37" s="525">
        <v>0.75</v>
      </c>
      <c r="H37" s="523"/>
      <c r="I37" s="525">
        <v>0.5</v>
      </c>
      <c r="J37" s="523"/>
      <c r="K37" s="523"/>
      <c r="L37" s="523"/>
      <c r="M37" s="523"/>
      <c r="N37" s="523"/>
      <c r="O37" s="523"/>
      <c r="P37" s="560">
        <v>54</v>
      </c>
      <c r="Q37" s="561">
        <v>22.25</v>
      </c>
      <c r="R37" s="529"/>
      <c r="S37" s="563">
        <v>36</v>
      </c>
      <c r="T37" s="582">
        <v>54</v>
      </c>
      <c r="U37" s="565">
        <v>10.5</v>
      </c>
      <c r="V37" s="529"/>
      <c r="W37" s="529"/>
      <c r="X37" s="529"/>
    </row>
    <row r="38" spans="1:24" x14ac:dyDescent="0.2">
      <c r="A38" s="540">
        <v>42</v>
      </c>
      <c r="B38" s="534">
        <v>42</v>
      </c>
      <c r="C38" s="533"/>
      <c r="D38" s="533"/>
      <c r="E38" s="533"/>
      <c r="F38" s="534">
        <v>0.375</v>
      </c>
      <c r="G38" s="533"/>
      <c r="H38" s="533"/>
      <c r="I38" s="534">
        <v>0.5</v>
      </c>
      <c r="J38" s="533"/>
      <c r="K38" s="533"/>
      <c r="L38" s="533"/>
      <c r="M38" s="533"/>
      <c r="N38" s="533"/>
      <c r="O38" s="533"/>
      <c r="P38" s="573">
        <v>63</v>
      </c>
      <c r="Q38" s="583">
        <v>26</v>
      </c>
      <c r="R38" s="538"/>
      <c r="S38" s="541">
        <v>42</v>
      </c>
      <c r="T38" s="538"/>
      <c r="U38" s="539">
        <v>12</v>
      </c>
      <c r="V38" s="538"/>
      <c r="W38" s="538"/>
      <c r="X38" s="538"/>
    </row>
    <row r="39" spans="1:24" x14ac:dyDescent="0.2">
      <c r="A39" s="584">
        <v>48</v>
      </c>
      <c r="B39" s="587">
        <v>48</v>
      </c>
      <c r="C39" s="585"/>
      <c r="D39" s="585"/>
      <c r="E39" s="585"/>
      <c r="F39" s="586">
        <v>0.375</v>
      </c>
      <c r="G39" s="585"/>
      <c r="H39" s="585"/>
      <c r="I39" s="587">
        <v>0.5</v>
      </c>
      <c r="J39" s="585"/>
      <c r="K39" s="585"/>
      <c r="L39" s="585"/>
      <c r="M39" s="585"/>
      <c r="N39" s="585"/>
      <c r="O39" s="585"/>
      <c r="P39" s="588">
        <v>72</v>
      </c>
      <c r="Q39" s="589">
        <v>29.75</v>
      </c>
      <c r="R39" s="590"/>
      <c r="S39" s="591">
        <v>48</v>
      </c>
      <c r="T39" s="590"/>
      <c r="U39" s="592">
        <v>13.5</v>
      </c>
      <c r="V39" s="590"/>
      <c r="W39" s="590"/>
      <c r="X39" s="590"/>
    </row>
    <row r="40" spans="1:24" x14ac:dyDescent="0.2">
      <c r="A40" s="593"/>
      <c r="B40" s="31"/>
      <c r="C40" s="31"/>
      <c r="D40" s="31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</row>
    <row r="41" spans="1:24" ht="18.75" thickBot="1" x14ac:dyDescent="0.3">
      <c r="A41" s="593"/>
      <c r="B41" s="389" t="s">
        <v>1897</v>
      </c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</row>
    <row r="42" spans="1:24" ht="17.25" thickTop="1" thickBot="1" x14ac:dyDescent="0.3">
      <c r="A42" s="502" t="s">
        <v>1867</v>
      </c>
      <c r="B42" s="503"/>
      <c r="C42" s="504"/>
      <c r="D42" s="504"/>
      <c r="E42" s="504"/>
      <c r="F42" s="505" t="s">
        <v>1891</v>
      </c>
      <c r="G42" s="504"/>
      <c r="H42" s="504"/>
      <c r="I42" s="504"/>
      <c r="J42" s="504"/>
      <c r="K42" s="504"/>
      <c r="L42" s="504"/>
      <c r="M42" s="504"/>
      <c r="N42" s="504"/>
      <c r="O42" s="506"/>
      <c r="P42" s="507"/>
      <c r="Q42" s="508"/>
      <c r="R42" s="508"/>
      <c r="S42" s="508"/>
      <c r="T42" s="508"/>
      <c r="U42" s="508"/>
      <c r="V42" s="509" t="s">
        <v>1869</v>
      </c>
      <c r="W42" s="507"/>
      <c r="X42" s="508"/>
    </row>
    <row r="43" spans="1:24" ht="14.25" thickTop="1" thickBot="1" x14ac:dyDescent="0.25">
      <c r="A43" s="510" t="s">
        <v>1556</v>
      </c>
      <c r="B43" s="511" t="s">
        <v>1556</v>
      </c>
      <c r="C43" s="511" t="s">
        <v>1870</v>
      </c>
      <c r="D43" s="511" t="s">
        <v>1871</v>
      </c>
      <c r="E43" s="511" t="s">
        <v>1871</v>
      </c>
      <c r="F43" s="511" t="s">
        <v>1871</v>
      </c>
      <c r="G43" s="511" t="s">
        <v>1871</v>
      </c>
      <c r="H43" s="511" t="s">
        <v>1871</v>
      </c>
      <c r="I43" s="511" t="s">
        <v>1871</v>
      </c>
      <c r="J43" s="511" t="s">
        <v>1871</v>
      </c>
      <c r="K43" s="511" t="s">
        <v>1871</v>
      </c>
      <c r="L43" s="511" t="s">
        <v>1871</v>
      </c>
      <c r="M43" s="511" t="s">
        <v>1871</v>
      </c>
      <c r="N43" s="511" t="s">
        <v>1871</v>
      </c>
      <c r="O43" s="511" t="s">
        <v>1871</v>
      </c>
      <c r="P43" s="510" t="s">
        <v>1872</v>
      </c>
      <c r="Q43" s="512" t="s">
        <v>1873</v>
      </c>
      <c r="R43" s="513" t="s">
        <v>1874</v>
      </c>
      <c r="S43" s="594" t="s">
        <v>1769</v>
      </c>
      <c r="T43" s="515" t="s">
        <v>1875</v>
      </c>
      <c r="U43" s="513" t="s">
        <v>1876</v>
      </c>
      <c r="V43" s="595" t="s">
        <v>29</v>
      </c>
      <c r="W43" s="516"/>
      <c r="X43" s="513" t="s">
        <v>1877</v>
      </c>
    </row>
    <row r="44" spans="1:24" ht="14.25" thickTop="1" thickBot="1" x14ac:dyDescent="0.25">
      <c r="A44" s="517" t="s">
        <v>894</v>
      </c>
      <c r="B44" s="518" t="s">
        <v>1534</v>
      </c>
      <c r="C44" s="518" t="s">
        <v>1482</v>
      </c>
      <c r="D44" s="518">
        <v>20</v>
      </c>
      <c r="E44" s="518">
        <v>30</v>
      </c>
      <c r="F44" s="519" t="s">
        <v>1878</v>
      </c>
      <c r="G44" s="518">
        <v>40</v>
      </c>
      <c r="H44" s="518">
        <v>60</v>
      </c>
      <c r="I44" s="518" t="s">
        <v>1541</v>
      </c>
      <c r="J44" s="518">
        <v>80</v>
      </c>
      <c r="K44" s="518">
        <v>100</v>
      </c>
      <c r="L44" s="518">
        <v>120</v>
      </c>
      <c r="M44" s="518">
        <v>140</v>
      </c>
      <c r="N44" s="518">
        <v>160</v>
      </c>
      <c r="O44" s="518" t="s">
        <v>1879</v>
      </c>
      <c r="P44" s="519" t="s">
        <v>1803</v>
      </c>
      <c r="Q44" s="785" t="s">
        <v>1803</v>
      </c>
      <c r="R44" s="518" t="s">
        <v>1803</v>
      </c>
      <c r="S44" s="788" t="s">
        <v>1803</v>
      </c>
      <c r="T44" s="786" t="s">
        <v>1803</v>
      </c>
      <c r="U44" s="518" t="s">
        <v>1803</v>
      </c>
      <c r="V44" s="520" t="s">
        <v>1881</v>
      </c>
      <c r="W44" s="520" t="s">
        <v>1882</v>
      </c>
      <c r="X44" s="518" t="s">
        <v>1803</v>
      </c>
    </row>
    <row r="45" spans="1:24" ht="13.5" thickTop="1" x14ac:dyDescent="0.2">
      <c r="A45" s="596">
        <f t="shared" ref="A45:P60" si="0">A16*25.4</f>
        <v>12.7</v>
      </c>
      <c r="B45" s="597">
        <f t="shared" si="0"/>
        <v>21.335999999999999</v>
      </c>
      <c r="C45" s="598">
        <f t="shared" si="0"/>
        <v>2.1082000000000001</v>
      </c>
      <c r="D45" s="523"/>
      <c r="E45" s="523"/>
      <c r="F45" s="597">
        <f>F16*25.4</f>
        <v>2.7685999999999997</v>
      </c>
      <c r="G45" s="598">
        <f>G16*25.4</f>
        <v>2.7685999999999997</v>
      </c>
      <c r="H45" s="523"/>
      <c r="I45" s="597">
        <f>I16*25.4</f>
        <v>3.7337999999999996</v>
      </c>
      <c r="J45" s="598">
        <f>J16*25.4</f>
        <v>3.7337999999999996</v>
      </c>
      <c r="K45" s="523"/>
      <c r="L45" s="523"/>
      <c r="M45" s="523"/>
      <c r="N45" s="597">
        <f t="shared" ref="N45:T60" si="1">N16*25.4</f>
        <v>4.7751999999999999</v>
      </c>
      <c r="O45" s="598">
        <f t="shared" si="1"/>
        <v>7.4675999999999991</v>
      </c>
      <c r="P45" s="599">
        <f t="shared" si="1"/>
        <v>38.099999999999994</v>
      </c>
      <c r="Q45" s="600">
        <f t="shared" si="1"/>
        <v>15.875</v>
      </c>
      <c r="R45" s="601">
        <f t="shared" si="1"/>
        <v>47.625</v>
      </c>
      <c r="S45" s="529"/>
      <c r="T45" s="529"/>
      <c r="U45" s="601">
        <f t="shared" ref="U45:X60" si="2">U16*25.4</f>
        <v>25.4</v>
      </c>
      <c r="V45" s="601">
        <f t="shared" si="2"/>
        <v>76.199999999999989</v>
      </c>
      <c r="W45" s="601">
        <f t="shared" si="2"/>
        <v>50.8</v>
      </c>
      <c r="X45" s="601">
        <f t="shared" si="2"/>
        <v>34.924999999999997</v>
      </c>
    </row>
    <row r="46" spans="1:24" x14ac:dyDescent="0.2">
      <c r="A46" s="602">
        <f t="shared" si="0"/>
        <v>19.049999999999997</v>
      </c>
      <c r="B46" s="603">
        <f t="shared" si="0"/>
        <v>26.669999999999998</v>
      </c>
      <c r="C46" s="603">
        <f t="shared" si="0"/>
        <v>2.1082000000000001</v>
      </c>
      <c r="D46" s="533"/>
      <c r="E46" s="533"/>
      <c r="F46" s="603">
        <f>F17*25.4</f>
        <v>2.8702000000000001</v>
      </c>
      <c r="G46" s="603">
        <f>G17*25.4</f>
        <v>2.8702000000000001</v>
      </c>
      <c r="H46" s="533"/>
      <c r="I46" s="603">
        <f>I17*25.4</f>
        <v>3.9115999999999995</v>
      </c>
      <c r="J46" s="603">
        <f>J17*25.4</f>
        <v>3.9115999999999995</v>
      </c>
      <c r="K46" s="533"/>
      <c r="L46" s="533"/>
      <c r="M46" s="533"/>
      <c r="N46" s="603">
        <f t="shared" si="1"/>
        <v>5.5625999999999998</v>
      </c>
      <c r="O46" s="603">
        <f t="shared" si="1"/>
        <v>7.823199999999999</v>
      </c>
      <c r="P46" s="604">
        <f t="shared" si="1"/>
        <v>28.574999999999999</v>
      </c>
      <c r="Q46" s="605">
        <f t="shared" si="1"/>
        <v>11.112499999999999</v>
      </c>
      <c r="R46" s="606">
        <f t="shared" si="1"/>
        <v>42.862499999999997</v>
      </c>
      <c r="S46" s="538"/>
      <c r="T46" s="538"/>
      <c r="U46" s="606">
        <f t="shared" si="2"/>
        <v>25.4</v>
      </c>
      <c r="V46" s="606">
        <f t="shared" si="2"/>
        <v>76.199999999999989</v>
      </c>
      <c r="W46" s="606">
        <f t="shared" si="2"/>
        <v>50.8</v>
      </c>
      <c r="X46" s="606">
        <f t="shared" si="2"/>
        <v>42.862499999999997</v>
      </c>
    </row>
    <row r="47" spans="1:24" x14ac:dyDescent="0.2">
      <c r="A47" s="602">
        <f t="shared" si="0"/>
        <v>25.4</v>
      </c>
      <c r="B47" s="603">
        <f t="shared" si="0"/>
        <v>33.400999999999996</v>
      </c>
      <c r="C47" s="603">
        <f t="shared" si="0"/>
        <v>2.7685999999999997</v>
      </c>
      <c r="D47" s="533"/>
      <c r="E47" s="533"/>
      <c r="F47" s="603">
        <f t="shared" si="0"/>
        <v>3.3782000000000001</v>
      </c>
      <c r="G47" s="603">
        <f t="shared" si="0"/>
        <v>3.3782000000000001</v>
      </c>
      <c r="H47" s="533"/>
      <c r="I47" s="603">
        <f t="shared" si="0"/>
        <v>4.5465999999999998</v>
      </c>
      <c r="J47" s="603">
        <f t="shared" si="0"/>
        <v>4.5465999999999998</v>
      </c>
      <c r="K47" s="533"/>
      <c r="L47" s="533"/>
      <c r="M47" s="533"/>
      <c r="N47" s="603">
        <f t="shared" si="0"/>
        <v>6.35</v>
      </c>
      <c r="O47" s="603">
        <f t="shared" si="0"/>
        <v>9.0931999999999995</v>
      </c>
      <c r="P47" s="604">
        <f t="shared" si="0"/>
        <v>38.099999999999994</v>
      </c>
      <c r="Q47" s="605">
        <f t="shared" si="1"/>
        <v>22.224999999999998</v>
      </c>
      <c r="R47" s="606">
        <f t="shared" si="1"/>
        <v>55.5625</v>
      </c>
      <c r="S47" s="607">
        <f t="shared" si="1"/>
        <v>25.4</v>
      </c>
      <c r="T47" s="608">
        <f t="shared" si="1"/>
        <v>41.274999999999999</v>
      </c>
      <c r="U47" s="606">
        <f t="shared" si="2"/>
        <v>38.099999999999994</v>
      </c>
      <c r="V47" s="606">
        <f t="shared" si="2"/>
        <v>101.6</v>
      </c>
      <c r="W47" s="606">
        <f t="shared" si="2"/>
        <v>50.8</v>
      </c>
      <c r="X47" s="606">
        <f t="shared" si="2"/>
        <v>50.8</v>
      </c>
    </row>
    <row r="48" spans="1:24" x14ac:dyDescent="0.2">
      <c r="A48" s="602">
        <f t="shared" si="0"/>
        <v>31.75</v>
      </c>
      <c r="B48" s="603">
        <f t="shared" si="0"/>
        <v>42.163999999999994</v>
      </c>
      <c r="C48" s="603">
        <f t="shared" si="0"/>
        <v>2.7685999999999997</v>
      </c>
      <c r="D48" s="533"/>
      <c r="E48" s="533"/>
      <c r="F48" s="603">
        <f t="shared" si="0"/>
        <v>3.556</v>
      </c>
      <c r="G48" s="603">
        <f t="shared" si="0"/>
        <v>3.556</v>
      </c>
      <c r="H48" s="533"/>
      <c r="I48" s="603">
        <f t="shared" si="0"/>
        <v>4.8513999999999999</v>
      </c>
      <c r="J48" s="603">
        <f t="shared" si="0"/>
        <v>4.8513999999999999</v>
      </c>
      <c r="K48" s="533"/>
      <c r="L48" s="533"/>
      <c r="M48" s="533"/>
      <c r="N48" s="603">
        <f t="shared" si="0"/>
        <v>6.35</v>
      </c>
      <c r="O48" s="603">
        <f t="shared" si="0"/>
        <v>9.7027999999999999</v>
      </c>
      <c r="P48" s="604">
        <f t="shared" si="0"/>
        <v>47.625</v>
      </c>
      <c r="Q48" s="605">
        <f t="shared" si="1"/>
        <v>25.4</v>
      </c>
      <c r="R48" s="606">
        <f t="shared" si="1"/>
        <v>69.849999999999994</v>
      </c>
      <c r="S48" s="607">
        <f t="shared" si="1"/>
        <v>31.75</v>
      </c>
      <c r="T48" s="608">
        <f t="shared" si="1"/>
        <v>52.387499999999996</v>
      </c>
      <c r="U48" s="606">
        <f t="shared" si="2"/>
        <v>38.099999999999994</v>
      </c>
      <c r="V48" s="606">
        <f t="shared" si="2"/>
        <v>101.6</v>
      </c>
      <c r="W48" s="606">
        <f t="shared" si="2"/>
        <v>50.8</v>
      </c>
      <c r="X48" s="606">
        <f t="shared" si="2"/>
        <v>63.5</v>
      </c>
    </row>
    <row r="49" spans="1:24" ht="13.5" thickBot="1" x14ac:dyDescent="0.25">
      <c r="A49" s="609">
        <f t="shared" si="0"/>
        <v>38.099999999999994</v>
      </c>
      <c r="B49" s="610">
        <f t="shared" si="0"/>
        <v>48.26</v>
      </c>
      <c r="C49" s="610">
        <f t="shared" si="0"/>
        <v>2.7685999999999997</v>
      </c>
      <c r="D49" s="549"/>
      <c r="E49" s="549"/>
      <c r="F49" s="610">
        <f t="shared" si="0"/>
        <v>3.6829999999999994</v>
      </c>
      <c r="G49" s="610">
        <f t="shared" si="0"/>
        <v>3.6829999999999994</v>
      </c>
      <c r="H49" s="549"/>
      <c r="I49" s="610">
        <f t="shared" si="0"/>
        <v>5.08</v>
      </c>
      <c r="J49" s="610">
        <f t="shared" si="0"/>
        <v>5.08</v>
      </c>
      <c r="K49" s="549"/>
      <c r="L49" s="549"/>
      <c r="M49" s="549"/>
      <c r="N49" s="610">
        <f t="shared" si="0"/>
        <v>7.1374000000000004</v>
      </c>
      <c r="O49" s="610">
        <f t="shared" si="0"/>
        <v>10.16</v>
      </c>
      <c r="P49" s="611">
        <f t="shared" si="0"/>
        <v>57.15</v>
      </c>
      <c r="Q49" s="612">
        <f t="shared" si="1"/>
        <v>28.574999999999999</v>
      </c>
      <c r="R49" s="613">
        <f t="shared" si="1"/>
        <v>82.55</v>
      </c>
      <c r="S49" s="614">
        <f t="shared" si="1"/>
        <v>38.099999999999994</v>
      </c>
      <c r="T49" s="615">
        <f t="shared" si="1"/>
        <v>61.912499999999994</v>
      </c>
      <c r="U49" s="613">
        <f t="shared" si="2"/>
        <v>38.099999999999994</v>
      </c>
      <c r="V49" s="613">
        <f t="shared" si="2"/>
        <v>101.6</v>
      </c>
      <c r="W49" s="613">
        <f t="shared" si="2"/>
        <v>50.8</v>
      </c>
      <c r="X49" s="613">
        <f t="shared" si="2"/>
        <v>73.024999999999991</v>
      </c>
    </row>
    <row r="50" spans="1:24" ht="13.5" thickTop="1" x14ac:dyDescent="0.2">
      <c r="A50" s="616">
        <f t="shared" si="0"/>
        <v>50.8</v>
      </c>
      <c r="B50" s="617">
        <f t="shared" si="0"/>
        <v>60.324999999999996</v>
      </c>
      <c r="C50" s="617">
        <f t="shared" si="0"/>
        <v>2.7685999999999997</v>
      </c>
      <c r="D50" s="523"/>
      <c r="E50" s="523"/>
      <c r="F50" s="617">
        <f t="shared" si="0"/>
        <v>3.9115999999999995</v>
      </c>
      <c r="G50" s="617">
        <f t="shared" si="0"/>
        <v>3.9115999999999995</v>
      </c>
      <c r="H50" s="523"/>
      <c r="I50" s="617">
        <f t="shared" si="0"/>
        <v>5.5371999999999995</v>
      </c>
      <c r="J50" s="617">
        <f t="shared" si="0"/>
        <v>5.5371999999999995</v>
      </c>
      <c r="K50" s="523"/>
      <c r="L50" s="523"/>
      <c r="M50" s="523"/>
      <c r="N50" s="617">
        <f t="shared" si="0"/>
        <v>8.7375999999999987</v>
      </c>
      <c r="O50" s="617">
        <f t="shared" si="0"/>
        <v>11.074399999999999</v>
      </c>
      <c r="P50" s="599">
        <f t="shared" si="0"/>
        <v>76.199999999999989</v>
      </c>
      <c r="Q50" s="600">
        <f t="shared" si="1"/>
        <v>34.924999999999997</v>
      </c>
      <c r="R50" s="601">
        <f t="shared" si="1"/>
        <v>106.3625</v>
      </c>
      <c r="S50" s="618">
        <f t="shared" si="1"/>
        <v>50.8</v>
      </c>
      <c r="T50" s="619">
        <f t="shared" si="1"/>
        <v>80.962499999999991</v>
      </c>
      <c r="U50" s="601">
        <f t="shared" si="2"/>
        <v>38.099999999999994</v>
      </c>
      <c r="V50" s="601">
        <f t="shared" si="2"/>
        <v>152.39999999999998</v>
      </c>
      <c r="W50" s="601">
        <f t="shared" si="2"/>
        <v>63.5</v>
      </c>
      <c r="X50" s="601">
        <f t="shared" si="2"/>
        <v>92.074999999999989</v>
      </c>
    </row>
    <row r="51" spans="1:24" x14ac:dyDescent="0.2">
      <c r="A51" s="602">
        <f t="shared" si="0"/>
        <v>63.5</v>
      </c>
      <c r="B51" s="603">
        <f t="shared" si="0"/>
        <v>73.024999999999991</v>
      </c>
      <c r="C51" s="603">
        <f t="shared" si="0"/>
        <v>3.0479999999999996</v>
      </c>
      <c r="D51" s="533"/>
      <c r="E51" s="533"/>
      <c r="F51" s="603">
        <f t="shared" si="0"/>
        <v>5.1562000000000001</v>
      </c>
      <c r="G51" s="603">
        <f t="shared" si="0"/>
        <v>5.1562000000000001</v>
      </c>
      <c r="H51" s="533"/>
      <c r="I51" s="603">
        <f t="shared" si="0"/>
        <v>7.0104000000000006</v>
      </c>
      <c r="J51" s="603">
        <f t="shared" si="0"/>
        <v>7.0104000000000006</v>
      </c>
      <c r="K51" s="533"/>
      <c r="L51" s="533"/>
      <c r="M51" s="533"/>
      <c r="N51" s="603">
        <f t="shared" si="0"/>
        <v>9.5249999999999986</v>
      </c>
      <c r="O51" s="603">
        <f t="shared" si="0"/>
        <v>14.020800000000001</v>
      </c>
      <c r="P51" s="604">
        <f t="shared" si="0"/>
        <v>95.25</v>
      </c>
      <c r="Q51" s="605">
        <f t="shared" si="1"/>
        <v>44.449999999999996</v>
      </c>
      <c r="R51" s="606">
        <f t="shared" si="1"/>
        <v>131.76249999999999</v>
      </c>
      <c r="S51" s="607">
        <f t="shared" si="1"/>
        <v>63.5</v>
      </c>
      <c r="T51" s="608">
        <f t="shared" si="1"/>
        <v>100.01249999999999</v>
      </c>
      <c r="U51" s="606">
        <f t="shared" si="2"/>
        <v>38.099999999999994</v>
      </c>
      <c r="V51" s="606">
        <f t="shared" si="2"/>
        <v>152.39999999999998</v>
      </c>
      <c r="W51" s="606">
        <f t="shared" si="2"/>
        <v>63.5</v>
      </c>
      <c r="X51" s="606">
        <f t="shared" si="2"/>
        <v>104.77499999999999</v>
      </c>
    </row>
    <row r="52" spans="1:24" x14ac:dyDescent="0.2">
      <c r="A52" s="602">
        <f t="shared" si="0"/>
        <v>76.199999999999989</v>
      </c>
      <c r="B52" s="603">
        <f t="shared" si="0"/>
        <v>88.899999999999991</v>
      </c>
      <c r="C52" s="533"/>
      <c r="D52" s="533"/>
      <c r="E52" s="533"/>
      <c r="F52" s="603">
        <f t="shared" si="0"/>
        <v>5.4863999999999997</v>
      </c>
      <c r="G52" s="603">
        <f t="shared" si="0"/>
        <v>5.4863999999999997</v>
      </c>
      <c r="H52" s="533"/>
      <c r="I52" s="603">
        <f t="shared" si="0"/>
        <v>7.6199999999999992</v>
      </c>
      <c r="J52" s="603">
        <f t="shared" si="0"/>
        <v>7.6199999999999992</v>
      </c>
      <c r="K52" s="533"/>
      <c r="L52" s="533"/>
      <c r="M52" s="533"/>
      <c r="N52" s="603">
        <f t="shared" si="0"/>
        <v>11.1252</v>
      </c>
      <c r="O52" s="603">
        <f t="shared" si="0"/>
        <v>15.239999999999998</v>
      </c>
      <c r="P52" s="604">
        <f t="shared" si="0"/>
        <v>114.3</v>
      </c>
      <c r="Q52" s="605">
        <f t="shared" si="1"/>
        <v>50.8</v>
      </c>
      <c r="R52" s="606">
        <f t="shared" si="1"/>
        <v>158.75</v>
      </c>
      <c r="S52" s="607">
        <f t="shared" si="1"/>
        <v>76.199999999999989</v>
      </c>
      <c r="T52" s="608">
        <f t="shared" si="1"/>
        <v>120.64999999999999</v>
      </c>
      <c r="U52" s="606">
        <f t="shared" si="2"/>
        <v>50.8</v>
      </c>
      <c r="V52" s="606">
        <f t="shared" si="2"/>
        <v>152.39999999999998</v>
      </c>
      <c r="W52" s="606">
        <f t="shared" si="2"/>
        <v>63.5</v>
      </c>
      <c r="X52" s="606">
        <f t="shared" si="2"/>
        <v>127</v>
      </c>
    </row>
    <row r="53" spans="1:24" ht="13.5" thickBot="1" x14ac:dyDescent="0.25">
      <c r="A53" s="620">
        <f t="shared" si="0"/>
        <v>88.899999999999991</v>
      </c>
      <c r="B53" s="621">
        <f t="shared" si="0"/>
        <v>101.6</v>
      </c>
      <c r="C53" s="549"/>
      <c r="D53" s="549"/>
      <c r="E53" s="549"/>
      <c r="F53" s="621">
        <f t="shared" si="0"/>
        <v>5.7404000000000002</v>
      </c>
      <c r="G53" s="621">
        <f t="shared" si="0"/>
        <v>5.7404000000000002</v>
      </c>
      <c r="H53" s="549"/>
      <c r="I53" s="621">
        <f t="shared" si="0"/>
        <v>8.0771999999999995</v>
      </c>
      <c r="J53" s="621">
        <f t="shared" si="0"/>
        <v>8.0771999999999995</v>
      </c>
      <c r="K53" s="549"/>
      <c r="L53" s="549"/>
      <c r="M53" s="549"/>
      <c r="N53" s="549"/>
      <c r="O53" s="621">
        <f t="shared" si="0"/>
        <v>16.154399999999999</v>
      </c>
      <c r="P53" s="611">
        <f t="shared" si="0"/>
        <v>133.35</v>
      </c>
      <c r="Q53" s="612">
        <f t="shared" si="1"/>
        <v>57.15</v>
      </c>
      <c r="R53" s="613">
        <f t="shared" si="1"/>
        <v>184.14999999999998</v>
      </c>
      <c r="S53" s="614">
        <f t="shared" si="1"/>
        <v>88.899999999999991</v>
      </c>
      <c r="T53" s="615">
        <f t="shared" si="1"/>
        <v>139.69999999999999</v>
      </c>
      <c r="U53" s="613">
        <f t="shared" si="2"/>
        <v>63.5</v>
      </c>
      <c r="V53" s="613">
        <f t="shared" si="2"/>
        <v>152.39999999999998</v>
      </c>
      <c r="W53" s="613">
        <f t="shared" si="2"/>
        <v>76.199999999999989</v>
      </c>
      <c r="X53" s="613">
        <f t="shared" si="2"/>
        <v>139.69999999999999</v>
      </c>
    </row>
    <row r="54" spans="1:24" ht="13.5" thickTop="1" x14ac:dyDescent="0.2">
      <c r="A54" s="622">
        <f t="shared" si="0"/>
        <v>101.6</v>
      </c>
      <c r="B54" s="617">
        <f t="shared" si="0"/>
        <v>114.3</v>
      </c>
      <c r="C54" s="523"/>
      <c r="D54" s="523"/>
      <c r="E54" s="523"/>
      <c r="F54" s="617">
        <f t="shared" si="0"/>
        <v>6.0197999999999992</v>
      </c>
      <c r="G54" s="617">
        <f t="shared" si="0"/>
        <v>6.0197999999999992</v>
      </c>
      <c r="H54" s="523"/>
      <c r="I54" s="617">
        <f t="shared" si="0"/>
        <v>8.5597999999999992</v>
      </c>
      <c r="J54" s="617">
        <f t="shared" si="0"/>
        <v>8.5597999999999992</v>
      </c>
      <c r="K54" s="523"/>
      <c r="L54" s="617">
        <f t="shared" si="0"/>
        <v>11.1252</v>
      </c>
      <c r="M54" s="523"/>
      <c r="N54" s="617">
        <f t="shared" si="0"/>
        <v>13.487399999999999</v>
      </c>
      <c r="O54" s="617">
        <f t="shared" si="0"/>
        <v>17.119599999999998</v>
      </c>
      <c r="P54" s="599">
        <f t="shared" si="0"/>
        <v>152.39999999999998</v>
      </c>
      <c r="Q54" s="600">
        <f t="shared" si="1"/>
        <v>63.5</v>
      </c>
      <c r="R54" s="601">
        <f t="shared" si="1"/>
        <v>209.54999999999998</v>
      </c>
      <c r="S54" s="618">
        <f t="shared" si="1"/>
        <v>101.6</v>
      </c>
      <c r="T54" s="619">
        <f t="shared" si="1"/>
        <v>158.75</v>
      </c>
      <c r="U54" s="601">
        <f t="shared" si="2"/>
        <v>63.5</v>
      </c>
      <c r="V54" s="601">
        <f t="shared" si="2"/>
        <v>152.39999999999998</v>
      </c>
      <c r="W54" s="601">
        <f t="shared" si="2"/>
        <v>76.199999999999989</v>
      </c>
      <c r="X54" s="601">
        <f t="shared" si="2"/>
        <v>157.16249999999999</v>
      </c>
    </row>
    <row r="55" spans="1:24" x14ac:dyDescent="0.2">
      <c r="A55" s="602">
        <f t="shared" si="0"/>
        <v>127</v>
      </c>
      <c r="B55" s="603">
        <f t="shared" si="0"/>
        <v>141.30019999999999</v>
      </c>
      <c r="C55" s="533"/>
      <c r="D55" s="533"/>
      <c r="E55" s="533"/>
      <c r="F55" s="603">
        <f t="shared" si="0"/>
        <v>6.5531999999999995</v>
      </c>
      <c r="G55" s="603">
        <f t="shared" si="0"/>
        <v>6.5531999999999995</v>
      </c>
      <c r="H55" s="533"/>
      <c r="I55" s="603">
        <f t="shared" si="0"/>
        <v>9.5249999999999986</v>
      </c>
      <c r="J55" s="603">
        <f t="shared" si="0"/>
        <v>9.5249999999999986</v>
      </c>
      <c r="K55" s="533"/>
      <c r="L55" s="603">
        <f t="shared" si="0"/>
        <v>12.7</v>
      </c>
      <c r="M55" s="533"/>
      <c r="N55" s="603">
        <f t="shared" si="0"/>
        <v>15.875</v>
      </c>
      <c r="O55" s="603">
        <f t="shared" si="0"/>
        <v>19.049999999999997</v>
      </c>
      <c r="P55" s="604">
        <f t="shared" si="0"/>
        <v>190.5</v>
      </c>
      <c r="Q55" s="605">
        <f t="shared" si="1"/>
        <v>79.375</v>
      </c>
      <c r="R55" s="606">
        <f t="shared" si="1"/>
        <v>261.9375</v>
      </c>
      <c r="S55" s="607">
        <f t="shared" si="1"/>
        <v>127</v>
      </c>
      <c r="T55" s="608">
        <f t="shared" si="1"/>
        <v>196.85</v>
      </c>
      <c r="U55" s="606">
        <f t="shared" si="2"/>
        <v>76.199999999999989</v>
      </c>
      <c r="V55" s="606">
        <f t="shared" si="2"/>
        <v>203.2</v>
      </c>
      <c r="W55" s="606">
        <f t="shared" si="2"/>
        <v>76.199999999999989</v>
      </c>
      <c r="X55" s="606">
        <f t="shared" si="2"/>
        <v>185.73749999999998</v>
      </c>
    </row>
    <row r="56" spans="1:24" x14ac:dyDescent="0.2">
      <c r="A56" s="602">
        <f t="shared" si="0"/>
        <v>152.39999999999998</v>
      </c>
      <c r="B56" s="603">
        <f t="shared" si="0"/>
        <v>168.27499999999998</v>
      </c>
      <c r="C56" s="533"/>
      <c r="D56" s="533"/>
      <c r="E56" s="533"/>
      <c r="F56" s="603">
        <f t="shared" si="0"/>
        <v>7.1120000000000001</v>
      </c>
      <c r="G56" s="603">
        <f t="shared" si="0"/>
        <v>7.1120000000000001</v>
      </c>
      <c r="H56" s="533"/>
      <c r="I56" s="603">
        <f t="shared" si="0"/>
        <v>10.972799999999999</v>
      </c>
      <c r="J56" s="603">
        <f t="shared" si="0"/>
        <v>10.972799999999999</v>
      </c>
      <c r="K56" s="533"/>
      <c r="L56" s="603">
        <f t="shared" si="0"/>
        <v>14.274800000000001</v>
      </c>
      <c r="M56" s="533"/>
      <c r="N56" s="603">
        <f t="shared" si="0"/>
        <v>18.262599999999999</v>
      </c>
      <c r="O56" s="603">
        <f t="shared" si="0"/>
        <v>21.945599999999999</v>
      </c>
      <c r="P56" s="604">
        <f t="shared" si="0"/>
        <v>228.6</v>
      </c>
      <c r="Q56" s="605">
        <f t="shared" si="1"/>
        <v>95.25</v>
      </c>
      <c r="R56" s="606">
        <f t="shared" si="1"/>
        <v>312.73749999999995</v>
      </c>
      <c r="S56" s="607">
        <f t="shared" si="1"/>
        <v>152.39999999999998</v>
      </c>
      <c r="T56" s="608">
        <f t="shared" si="1"/>
        <v>236.53749999999999</v>
      </c>
      <c r="U56" s="606">
        <f t="shared" si="2"/>
        <v>88.899999999999991</v>
      </c>
      <c r="V56" s="606">
        <f t="shared" si="2"/>
        <v>203.2</v>
      </c>
      <c r="W56" s="606">
        <f t="shared" si="2"/>
        <v>88.899999999999991</v>
      </c>
      <c r="X56" s="606">
        <f t="shared" si="2"/>
        <v>215.89999999999998</v>
      </c>
    </row>
    <row r="57" spans="1:24" ht="13.5" thickBot="1" x14ac:dyDescent="0.25">
      <c r="A57" s="620">
        <f t="shared" si="0"/>
        <v>203.2</v>
      </c>
      <c r="B57" s="621">
        <f t="shared" si="0"/>
        <v>219.07499999999999</v>
      </c>
      <c r="C57" s="549"/>
      <c r="D57" s="621">
        <f t="shared" si="0"/>
        <v>6.35</v>
      </c>
      <c r="E57" s="621">
        <f t="shared" si="0"/>
        <v>7.0358000000000001</v>
      </c>
      <c r="F57" s="621">
        <f t="shared" si="0"/>
        <v>8.178799999999999</v>
      </c>
      <c r="G57" s="621">
        <f t="shared" si="0"/>
        <v>8.178799999999999</v>
      </c>
      <c r="H57" s="621">
        <f t="shared" si="0"/>
        <v>10.3124</v>
      </c>
      <c r="I57" s="621">
        <f t="shared" si="0"/>
        <v>12.7</v>
      </c>
      <c r="J57" s="621">
        <f t="shared" si="0"/>
        <v>12.7</v>
      </c>
      <c r="K57" s="621">
        <f t="shared" si="0"/>
        <v>15.087599999999998</v>
      </c>
      <c r="L57" s="621">
        <f t="shared" si="0"/>
        <v>18.262599999999999</v>
      </c>
      <c r="M57" s="621">
        <f t="shared" si="0"/>
        <v>20.6248</v>
      </c>
      <c r="N57" s="621">
        <f t="shared" si="0"/>
        <v>23.0124</v>
      </c>
      <c r="O57" s="621">
        <f t="shared" si="0"/>
        <v>22.224999999999998</v>
      </c>
      <c r="P57" s="611">
        <f t="shared" si="0"/>
        <v>304.79999999999995</v>
      </c>
      <c r="Q57" s="612">
        <f t="shared" si="1"/>
        <v>127</v>
      </c>
      <c r="R57" s="613">
        <f t="shared" si="1"/>
        <v>414.33749999999998</v>
      </c>
      <c r="S57" s="614">
        <f t="shared" si="1"/>
        <v>203.2</v>
      </c>
      <c r="T57" s="615">
        <f t="shared" si="1"/>
        <v>312.73749999999995</v>
      </c>
      <c r="U57" s="613">
        <f t="shared" si="2"/>
        <v>101.6</v>
      </c>
      <c r="V57" s="613">
        <f t="shared" si="2"/>
        <v>203.2</v>
      </c>
      <c r="W57" s="613">
        <f t="shared" si="2"/>
        <v>101.6</v>
      </c>
      <c r="X57" s="613">
        <f t="shared" si="2"/>
        <v>269.875</v>
      </c>
    </row>
    <row r="58" spans="1:24" ht="13.5" thickTop="1" x14ac:dyDescent="0.2">
      <c r="A58" s="622">
        <f t="shared" si="0"/>
        <v>254</v>
      </c>
      <c r="B58" s="617">
        <f t="shared" si="0"/>
        <v>273.05</v>
      </c>
      <c r="C58" s="523"/>
      <c r="D58" s="617">
        <f t="shared" si="0"/>
        <v>6.35</v>
      </c>
      <c r="E58" s="617">
        <f t="shared" si="0"/>
        <v>7.7977999999999996</v>
      </c>
      <c r="F58" s="617">
        <f t="shared" si="0"/>
        <v>9.270999999999999</v>
      </c>
      <c r="G58" s="617">
        <f t="shared" si="0"/>
        <v>9.270999999999999</v>
      </c>
      <c r="H58" s="617">
        <f t="shared" si="0"/>
        <v>12.7</v>
      </c>
      <c r="I58" s="617">
        <f t="shared" si="0"/>
        <v>12.7</v>
      </c>
      <c r="J58" s="617">
        <f t="shared" si="0"/>
        <v>15.087599999999998</v>
      </c>
      <c r="K58" s="617">
        <f t="shared" si="0"/>
        <v>18.262599999999999</v>
      </c>
      <c r="L58" s="617">
        <f t="shared" si="0"/>
        <v>21.4376</v>
      </c>
      <c r="M58" s="617">
        <f t="shared" si="0"/>
        <v>25.4</v>
      </c>
      <c r="N58" s="617">
        <f t="shared" si="0"/>
        <v>28.574999999999999</v>
      </c>
      <c r="O58" s="617">
        <f t="shared" si="0"/>
        <v>25.4</v>
      </c>
      <c r="P58" s="599">
        <f t="shared" si="0"/>
        <v>381</v>
      </c>
      <c r="Q58" s="600">
        <f t="shared" si="1"/>
        <v>158.75</v>
      </c>
      <c r="R58" s="601">
        <f t="shared" si="1"/>
        <v>517.52499999999998</v>
      </c>
      <c r="S58" s="618">
        <f t="shared" si="1"/>
        <v>254</v>
      </c>
      <c r="T58" s="619">
        <f t="shared" si="1"/>
        <v>390.52499999999998</v>
      </c>
      <c r="U58" s="601">
        <f t="shared" si="2"/>
        <v>127</v>
      </c>
      <c r="V58" s="601">
        <f t="shared" si="2"/>
        <v>254</v>
      </c>
      <c r="W58" s="601">
        <f t="shared" si="2"/>
        <v>127</v>
      </c>
      <c r="X58" s="601">
        <f t="shared" si="2"/>
        <v>323.84999999999997</v>
      </c>
    </row>
    <row r="59" spans="1:24" x14ac:dyDescent="0.2">
      <c r="A59" s="602">
        <f t="shared" si="0"/>
        <v>304.79999999999995</v>
      </c>
      <c r="B59" s="603">
        <f t="shared" si="0"/>
        <v>323.84999999999997</v>
      </c>
      <c r="C59" s="533"/>
      <c r="D59" s="603">
        <f t="shared" si="0"/>
        <v>6.35</v>
      </c>
      <c r="E59" s="603">
        <f t="shared" si="0"/>
        <v>8.3819999999999997</v>
      </c>
      <c r="F59" s="603">
        <f t="shared" si="0"/>
        <v>9.5249999999999986</v>
      </c>
      <c r="G59" s="603">
        <f t="shared" si="0"/>
        <v>10.3124</v>
      </c>
      <c r="H59" s="603">
        <f t="shared" si="0"/>
        <v>14.274800000000001</v>
      </c>
      <c r="I59" s="603">
        <f t="shared" si="0"/>
        <v>12.7</v>
      </c>
      <c r="J59" s="603">
        <f t="shared" si="0"/>
        <v>17.475199999999997</v>
      </c>
      <c r="K59" s="603">
        <f t="shared" si="0"/>
        <v>21.4376</v>
      </c>
      <c r="L59" s="603">
        <f t="shared" si="0"/>
        <v>25.4</v>
      </c>
      <c r="M59" s="603">
        <f t="shared" si="0"/>
        <v>28.574999999999999</v>
      </c>
      <c r="N59" s="603">
        <f t="shared" si="0"/>
        <v>33.324799999999996</v>
      </c>
      <c r="O59" s="603">
        <f t="shared" si="0"/>
        <v>25.4</v>
      </c>
      <c r="P59" s="604">
        <f t="shared" si="0"/>
        <v>457.2</v>
      </c>
      <c r="Q59" s="605">
        <f t="shared" si="1"/>
        <v>190.5</v>
      </c>
      <c r="R59" s="606">
        <f t="shared" si="1"/>
        <v>619.125</v>
      </c>
      <c r="S59" s="607">
        <f t="shared" si="1"/>
        <v>304.79999999999995</v>
      </c>
      <c r="T59" s="608">
        <f t="shared" si="1"/>
        <v>466.72499999999997</v>
      </c>
      <c r="U59" s="606">
        <f t="shared" si="2"/>
        <v>152.39999999999998</v>
      </c>
      <c r="V59" s="606">
        <f t="shared" si="2"/>
        <v>254</v>
      </c>
      <c r="W59" s="606">
        <f t="shared" si="2"/>
        <v>152.39999999999998</v>
      </c>
      <c r="X59" s="606">
        <f t="shared" si="2"/>
        <v>381</v>
      </c>
    </row>
    <row r="60" spans="1:24" x14ac:dyDescent="0.2">
      <c r="A60" s="602">
        <f t="shared" si="0"/>
        <v>355.59999999999997</v>
      </c>
      <c r="B60" s="603">
        <f t="shared" si="0"/>
        <v>355.59999999999997</v>
      </c>
      <c r="C60" s="533"/>
      <c r="D60" s="603">
        <f t="shared" si="0"/>
        <v>7.9247999999999994</v>
      </c>
      <c r="E60" s="603">
        <f t="shared" si="0"/>
        <v>9.5249999999999986</v>
      </c>
      <c r="F60" s="603">
        <f t="shared" si="0"/>
        <v>9.5249999999999986</v>
      </c>
      <c r="G60" s="603">
        <f t="shared" si="0"/>
        <v>11.1252</v>
      </c>
      <c r="H60" s="603">
        <f t="shared" si="0"/>
        <v>15.087599999999998</v>
      </c>
      <c r="I60" s="603">
        <f t="shared" si="0"/>
        <v>12.7</v>
      </c>
      <c r="J60" s="603">
        <f t="shared" si="0"/>
        <v>19.049999999999997</v>
      </c>
      <c r="K60" s="603">
        <f t="shared" si="0"/>
        <v>23.825199999999999</v>
      </c>
      <c r="L60" s="603">
        <f t="shared" si="0"/>
        <v>27.787600000000001</v>
      </c>
      <c r="M60" s="603">
        <f t="shared" si="0"/>
        <v>31.75</v>
      </c>
      <c r="N60" s="603">
        <f t="shared" si="0"/>
        <v>35.712399999999995</v>
      </c>
      <c r="O60" s="533"/>
      <c r="P60" s="604">
        <f t="shared" si="0"/>
        <v>533.4</v>
      </c>
      <c r="Q60" s="605">
        <f t="shared" si="1"/>
        <v>222.25</v>
      </c>
      <c r="R60" s="606">
        <f t="shared" si="1"/>
        <v>711.19999999999993</v>
      </c>
      <c r="S60" s="607">
        <f t="shared" si="1"/>
        <v>355.59999999999997</v>
      </c>
      <c r="T60" s="608">
        <f t="shared" si="1"/>
        <v>533.4</v>
      </c>
      <c r="U60" s="606">
        <f t="shared" si="2"/>
        <v>165.1</v>
      </c>
      <c r="V60" s="606">
        <f t="shared" si="2"/>
        <v>304.79999999999995</v>
      </c>
      <c r="W60" s="538"/>
      <c r="X60" s="606">
        <f>X31*25.4</f>
        <v>412.75</v>
      </c>
    </row>
    <row r="61" spans="1:24" ht="13.5" thickBot="1" x14ac:dyDescent="0.25">
      <c r="A61" s="620">
        <f t="shared" ref="A61:N68" si="3">A32*25.4</f>
        <v>406.4</v>
      </c>
      <c r="B61" s="621">
        <f t="shared" si="3"/>
        <v>406.4</v>
      </c>
      <c r="C61" s="549"/>
      <c r="D61" s="621">
        <f t="shared" si="3"/>
        <v>7.9247999999999994</v>
      </c>
      <c r="E61" s="621">
        <f t="shared" si="3"/>
        <v>9.5249999999999986</v>
      </c>
      <c r="F61" s="621">
        <f t="shared" si="3"/>
        <v>9.5249999999999986</v>
      </c>
      <c r="G61" s="621">
        <f t="shared" si="3"/>
        <v>12.7</v>
      </c>
      <c r="H61" s="621">
        <f t="shared" si="3"/>
        <v>16.662399999999998</v>
      </c>
      <c r="I61" s="621">
        <f t="shared" si="3"/>
        <v>12.7</v>
      </c>
      <c r="J61" s="621">
        <f t="shared" si="3"/>
        <v>21.4376</v>
      </c>
      <c r="K61" s="621">
        <f t="shared" si="3"/>
        <v>26.187399999999997</v>
      </c>
      <c r="L61" s="621">
        <f t="shared" si="3"/>
        <v>30.962600000000002</v>
      </c>
      <c r="M61" s="621">
        <f t="shared" si="3"/>
        <v>36.525199999999998</v>
      </c>
      <c r="N61" s="621">
        <f t="shared" si="3"/>
        <v>40.4876</v>
      </c>
      <c r="O61" s="549"/>
      <c r="P61" s="611">
        <f t="shared" ref="P61:V68" si="4">P32*25.4</f>
        <v>609.59999999999991</v>
      </c>
      <c r="Q61" s="612">
        <f t="shared" si="4"/>
        <v>254</v>
      </c>
      <c r="R61" s="613">
        <f t="shared" si="4"/>
        <v>812.8</v>
      </c>
      <c r="S61" s="614">
        <f t="shared" si="4"/>
        <v>406.4</v>
      </c>
      <c r="T61" s="615">
        <f t="shared" si="4"/>
        <v>609.59999999999991</v>
      </c>
      <c r="U61" s="613">
        <f t="shared" si="4"/>
        <v>177.79999999999998</v>
      </c>
      <c r="V61" s="613">
        <f t="shared" si="4"/>
        <v>304.79999999999995</v>
      </c>
      <c r="W61" s="581"/>
      <c r="X61" s="613">
        <f>X32*25.4</f>
        <v>469.9</v>
      </c>
    </row>
    <row r="62" spans="1:24" ht="13.5" thickTop="1" x14ac:dyDescent="0.2">
      <c r="A62" s="622">
        <f t="shared" si="3"/>
        <v>457.2</v>
      </c>
      <c r="B62" s="617">
        <f t="shared" si="3"/>
        <v>457.2</v>
      </c>
      <c r="C62" s="523"/>
      <c r="D62" s="617">
        <f t="shared" si="3"/>
        <v>7.9247999999999994</v>
      </c>
      <c r="E62" s="617">
        <f t="shared" si="3"/>
        <v>11.1252</v>
      </c>
      <c r="F62" s="617">
        <f t="shared" si="3"/>
        <v>9.5249999999999986</v>
      </c>
      <c r="G62" s="617">
        <f t="shared" si="3"/>
        <v>14.274800000000001</v>
      </c>
      <c r="H62" s="617">
        <f t="shared" si="3"/>
        <v>19.049999999999997</v>
      </c>
      <c r="I62" s="617">
        <f t="shared" si="3"/>
        <v>12.7</v>
      </c>
      <c r="J62" s="617">
        <f t="shared" si="3"/>
        <v>23.825199999999999</v>
      </c>
      <c r="K62" s="617">
        <f t="shared" si="3"/>
        <v>29.362399999999997</v>
      </c>
      <c r="L62" s="617">
        <f t="shared" si="3"/>
        <v>34.924999999999997</v>
      </c>
      <c r="M62" s="617">
        <f t="shared" si="3"/>
        <v>39.674799999999998</v>
      </c>
      <c r="N62" s="617">
        <f t="shared" si="3"/>
        <v>45.237399999999994</v>
      </c>
      <c r="O62" s="523"/>
      <c r="P62" s="599">
        <f t="shared" si="4"/>
        <v>685.8</v>
      </c>
      <c r="Q62" s="600">
        <f t="shared" si="4"/>
        <v>285.75</v>
      </c>
      <c r="R62" s="601">
        <f t="shared" si="4"/>
        <v>914.4</v>
      </c>
      <c r="S62" s="618">
        <f t="shared" si="4"/>
        <v>457.2</v>
      </c>
      <c r="T62" s="619">
        <f t="shared" si="4"/>
        <v>685.8</v>
      </c>
      <c r="U62" s="601">
        <f t="shared" si="4"/>
        <v>203.2</v>
      </c>
      <c r="V62" s="601">
        <f t="shared" si="4"/>
        <v>304.79999999999995</v>
      </c>
      <c r="W62" s="529"/>
      <c r="X62" s="601">
        <f>X33*25.4</f>
        <v>533.4</v>
      </c>
    </row>
    <row r="63" spans="1:24" x14ac:dyDescent="0.2">
      <c r="A63" s="602">
        <f t="shared" si="3"/>
        <v>508</v>
      </c>
      <c r="B63" s="603">
        <f t="shared" si="3"/>
        <v>508</v>
      </c>
      <c r="C63" s="533"/>
      <c r="D63" s="603">
        <f t="shared" si="3"/>
        <v>9.5249999999999986</v>
      </c>
      <c r="E63" s="603">
        <f t="shared" si="3"/>
        <v>12.7</v>
      </c>
      <c r="F63" s="603">
        <f t="shared" si="3"/>
        <v>9.5249999999999986</v>
      </c>
      <c r="G63" s="603">
        <f t="shared" si="3"/>
        <v>15.087599999999998</v>
      </c>
      <c r="H63" s="603">
        <f t="shared" si="3"/>
        <v>20.6248</v>
      </c>
      <c r="I63" s="603">
        <f t="shared" si="3"/>
        <v>12.7</v>
      </c>
      <c r="J63" s="603">
        <f t="shared" si="3"/>
        <v>26.187399999999997</v>
      </c>
      <c r="K63" s="603">
        <f t="shared" si="3"/>
        <v>32.537399999999998</v>
      </c>
      <c r="L63" s="603">
        <f t="shared" si="3"/>
        <v>38.099999999999994</v>
      </c>
      <c r="M63" s="603">
        <f t="shared" si="3"/>
        <v>44.449999999999996</v>
      </c>
      <c r="N63" s="603">
        <f t="shared" si="3"/>
        <v>50.012599999999999</v>
      </c>
      <c r="O63" s="533"/>
      <c r="P63" s="604">
        <f t="shared" si="4"/>
        <v>762</v>
      </c>
      <c r="Q63" s="605">
        <f t="shared" si="4"/>
        <v>317.5</v>
      </c>
      <c r="R63" s="606">
        <f t="shared" si="4"/>
        <v>1016</v>
      </c>
      <c r="S63" s="607">
        <f t="shared" si="4"/>
        <v>508</v>
      </c>
      <c r="T63" s="608">
        <f t="shared" si="4"/>
        <v>762</v>
      </c>
      <c r="U63" s="606">
        <f t="shared" si="4"/>
        <v>228.6</v>
      </c>
      <c r="V63" s="606">
        <f t="shared" si="4"/>
        <v>304.79999999999995</v>
      </c>
      <c r="W63" s="538"/>
      <c r="X63" s="606">
        <f>X34*25.4</f>
        <v>584.19999999999993</v>
      </c>
    </row>
    <row r="64" spans="1:24" x14ac:dyDescent="0.2">
      <c r="A64" s="602">
        <f t="shared" si="3"/>
        <v>609.59999999999991</v>
      </c>
      <c r="B64" s="603">
        <f t="shared" si="3"/>
        <v>609.59999999999991</v>
      </c>
      <c r="C64" s="533"/>
      <c r="D64" s="603">
        <f t="shared" si="3"/>
        <v>9.5249999999999986</v>
      </c>
      <c r="E64" s="603">
        <f t="shared" si="3"/>
        <v>14.274800000000001</v>
      </c>
      <c r="F64" s="603">
        <f t="shared" si="3"/>
        <v>9.5249999999999986</v>
      </c>
      <c r="G64" s="603">
        <f t="shared" si="3"/>
        <v>17.475199999999997</v>
      </c>
      <c r="H64" s="603">
        <f t="shared" si="3"/>
        <v>24.612599999999997</v>
      </c>
      <c r="I64" s="603">
        <f t="shared" si="3"/>
        <v>12.7</v>
      </c>
      <c r="J64" s="603">
        <f t="shared" si="3"/>
        <v>30.962600000000002</v>
      </c>
      <c r="K64" s="603">
        <f t="shared" si="3"/>
        <v>38.887399999999992</v>
      </c>
      <c r="L64" s="603">
        <f t="shared" si="3"/>
        <v>46.024799999999999</v>
      </c>
      <c r="M64" s="603">
        <f t="shared" si="3"/>
        <v>52.374799999999993</v>
      </c>
      <c r="N64" s="603">
        <f t="shared" si="3"/>
        <v>59.537599999999991</v>
      </c>
      <c r="O64" s="533"/>
      <c r="P64" s="604">
        <f t="shared" si="4"/>
        <v>914.4</v>
      </c>
      <c r="Q64" s="605">
        <f t="shared" si="4"/>
        <v>381</v>
      </c>
      <c r="R64" s="606">
        <f t="shared" si="4"/>
        <v>1219.1999999999998</v>
      </c>
      <c r="S64" s="607">
        <f t="shared" si="4"/>
        <v>609.59999999999991</v>
      </c>
      <c r="T64" s="608">
        <f t="shared" si="4"/>
        <v>914.4</v>
      </c>
      <c r="U64" s="606">
        <f t="shared" si="4"/>
        <v>266.7</v>
      </c>
      <c r="V64" s="606">
        <f t="shared" si="4"/>
        <v>304.79999999999995</v>
      </c>
      <c r="W64" s="538"/>
      <c r="X64" s="606">
        <f>X35*25.4</f>
        <v>692.15</v>
      </c>
    </row>
    <row r="65" spans="1:24" ht="13.5" thickBot="1" x14ac:dyDescent="0.25">
      <c r="A65" s="620">
        <f t="shared" si="3"/>
        <v>762</v>
      </c>
      <c r="B65" s="621">
        <f t="shared" si="3"/>
        <v>762</v>
      </c>
      <c r="C65" s="549"/>
      <c r="D65" s="621">
        <f t="shared" si="3"/>
        <v>12.7</v>
      </c>
      <c r="E65" s="621">
        <f t="shared" si="3"/>
        <v>15.875</v>
      </c>
      <c r="F65" s="621">
        <f t="shared" si="3"/>
        <v>9.5249999999999986</v>
      </c>
      <c r="G65" s="549"/>
      <c r="H65" s="549"/>
      <c r="I65" s="621">
        <f t="shared" si="3"/>
        <v>12.7</v>
      </c>
      <c r="J65" s="549"/>
      <c r="K65" s="549"/>
      <c r="L65" s="549"/>
      <c r="M65" s="549"/>
      <c r="N65" s="549"/>
      <c r="O65" s="549"/>
      <c r="P65" s="611">
        <f t="shared" si="4"/>
        <v>1143</v>
      </c>
      <c r="Q65" s="612">
        <f t="shared" si="4"/>
        <v>469.9</v>
      </c>
      <c r="R65" s="623">
        <f t="shared" si="4"/>
        <v>1524</v>
      </c>
      <c r="S65" s="614">
        <f t="shared" si="4"/>
        <v>762</v>
      </c>
      <c r="T65" s="615">
        <f t="shared" si="4"/>
        <v>1143</v>
      </c>
      <c r="U65" s="613">
        <f>U36*25.4</f>
        <v>266.7</v>
      </c>
      <c r="V65" s="581"/>
      <c r="W65" s="581"/>
      <c r="X65" s="581"/>
    </row>
    <row r="66" spans="1:24" ht="13.5" thickTop="1" x14ac:dyDescent="0.2">
      <c r="A66" s="622">
        <f t="shared" si="3"/>
        <v>914.4</v>
      </c>
      <c r="B66" s="617">
        <f t="shared" si="3"/>
        <v>914.4</v>
      </c>
      <c r="C66" s="523"/>
      <c r="D66" s="617">
        <f t="shared" si="3"/>
        <v>12.7</v>
      </c>
      <c r="E66" s="617">
        <f t="shared" si="3"/>
        <v>15.875</v>
      </c>
      <c r="F66" s="617">
        <f t="shared" si="3"/>
        <v>9.5249999999999986</v>
      </c>
      <c r="G66" s="617">
        <f t="shared" si="3"/>
        <v>19.049999999999997</v>
      </c>
      <c r="H66" s="523"/>
      <c r="I66" s="617">
        <f t="shared" si="3"/>
        <v>12.7</v>
      </c>
      <c r="J66" s="523"/>
      <c r="K66" s="523"/>
      <c r="L66" s="523"/>
      <c r="M66" s="523"/>
      <c r="N66" s="523"/>
      <c r="O66" s="523"/>
      <c r="P66" s="599">
        <f t="shared" si="4"/>
        <v>1371.6</v>
      </c>
      <c r="Q66" s="600">
        <f>Q37*25.4</f>
        <v>565.15</v>
      </c>
      <c r="R66" s="529"/>
      <c r="S66" s="618">
        <f>S37*25.4</f>
        <v>914.4</v>
      </c>
      <c r="T66" s="619">
        <f>T37*25.4</f>
        <v>1371.6</v>
      </c>
      <c r="U66" s="601">
        <f>U37*25.4</f>
        <v>266.7</v>
      </c>
      <c r="V66" s="529"/>
      <c r="W66" s="529"/>
      <c r="X66" s="529"/>
    </row>
    <row r="67" spans="1:24" x14ac:dyDescent="0.2">
      <c r="A67" s="602">
        <f t="shared" si="3"/>
        <v>1066.8</v>
      </c>
      <c r="B67" s="603">
        <f t="shared" si="3"/>
        <v>1066.8</v>
      </c>
      <c r="C67" s="533"/>
      <c r="D67" s="533"/>
      <c r="E67" s="533"/>
      <c r="F67" s="603">
        <f>F38*25.4</f>
        <v>9.5249999999999986</v>
      </c>
      <c r="G67" s="533"/>
      <c r="H67" s="533"/>
      <c r="I67" s="603">
        <f>I38*25.4</f>
        <v>12.7</v>
      </c>
      <c r="J67" s="533"/>
      <c r="K67" s="533"/>
      <c r="L67" s="533"/>
      <c r="M67" s="533"/>
      <c r="N67" s="533"/>
      <c r="O67" s="533"/>
      <c r="P67" s="604">
        <f t="shared" si="4"/>
        <v>1600.1999999999998</v>
      </c>
      <c r="Q67" s="605">
        <f>Q38*25.4</f>
        <v>660.4</v>
      </c>
      <c r="R67" s="538"/>
      <c r="S67" s="607">
        <f>S38*25.4</f>
        <v>1066.8</v>
      </c>
      <c r="T67" s="538"/>
      <c r="U67" s="606">
        <f>U38*25.4</f>
        <v>304.79999999999995</v>
      </c>
      <c r="V67" s="538"/>
      <c r="W67" s="538"/>
      <c r="X67" s="538"/>
    </row>
    <row r="68" spans="1:24" x14ac:dyDescent="0.2">
      <c r="A68" s="602">
        <f t="shared" si="3"/>
        <v>1219.1999999999998</v>
      </c>
      <c r="B68" s="603">
        <f t="shared" si="3"/>
        <v>1219.1999999999998</v>
      </c>
      <c r="C68" s="533"/>
      <c r="D68" s="533"/>
      <c r="E68" s="533"/>
      <c r="F68" s="603">
        <f>F39*25.4</f>
        <v>9.5249999999999986</v>
      </c>
      <c r="G68" s="533"/>
      <c r="H68" s="533"/>
      <c r="I68" s="603">
        <f>I39*25.4</f>
        <v>12.7</v>
      </c>
      <c r="J68" s="533"/>
      <c r="K68" s="533"/>
      <c r="L68" s="533"/>
      <c r="M68" s="533"/>
      <c r="N68" s="533"/>
      <c r="O68" s="585"/>
      <c r="P68" s="604">
        <f t="shared" si="4"/>
        <v>1828.8</v>
      </c>
      <c r="Q68" s="605">
        <f>Q39*25.4</f>
        <v>755.65</v>
      </c>
      <c r="R68" s="590"/>
      <c r="S68" s="607">
        <f>S39*25.4</f>
        <v>1219.1999999999998</v>
      </c>
      <c r="T68" s="590"/>
      <c r="U68" s="606">
        <f>U39*25.4</f>
        <v>342.9</v>
      </c>
      <c r="V68" s="590"/>
      <c r="W68" s="590"/>
      <c r="X68" s="590"/>
    </row>
  </sheetData>
  <sheetProtection password="CDD2" sheet="1" objects="1" scenarios="1"/>
  <pageMargins left="0.75" right="0.75" top="1" bottom="1" header="0.5" footer="0.5"/>
  <headerFooter alignWithMargins="0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T101"/>
  <sheetViews>
    <sheetView showGridLines="0" workbookViewId="0"/>
  </sheetViews>
  <sheetFormatPr defaultRowHeight="12.75" x14ac:dyDescent="0.2"/>
  <cols>
    <col min="1" max="1" width="6.5703125" customWidth="1"/>
    <col min="2" max="2" width="6.140625" customWidth="1"/>
    <col min="3" max="3" width="5.5703125" customWidth="1"/>
    <col min="4" max="4" width="5.42578125" customWidth="1"/>
    <col min="5" max="6" width="5.5703125" customWidth="1"/>
    <col min="7" max="7" width="5.28515625" customWidth="1"/>
    <col min="8" max="8" width="5" customWidth="1"/>
    <col min="9" max="9" width="5.5703125" customWidth="1"/>
    <col min="10" max="10" width="6.5703125" customWidth="1"/>
    <col min="11" max="11" width="5.85546875" customWidth="1"/>
    <col min="12" max="12" width="5.7109375" customWidth="1"/>
    <col min="13" max="13" width="6.7109375" customWidth="1"/>
    <col min="14" max="14" width="6.85546875" customWidth="1"/>
    <col min="15" max="15" width="5.140625" customWidth="1"/>
    <col min="16" max="16" width="7.28515625" customWidth="1"/>
    <col min="17" max="17" width="6.85546875" customWidth="1"/>
    <col min="18" max="18" width="6.42578125" customWidth="1"/>
    <col min="19" max="20" width="6.5703125" customWidth="1"/>
  </cols>
  <sheetData>
    <row r="10" spans="1:20" ht="18.75" thickBot="1" x14ac:dyDescent="0.3">
      <c r="B10" s="389" t="s">
        <v>1892</v>
      </c>
    </row>
    <row r="11" spans="1:20" ht="13.5" thickTop="1" x14ac:dyDescent="0.2">
      <c r="A11" s="717" t="s">
        <v>1867</v>
      </c>
      <c r="B11" s="624"/>
      <c r="C11" s="624"/>
      <c r="D11" s="624"/>
      <c r="E11" s="624"/>
      <c r="F11" s="717" t="s">
        <v>1867</v>
      </c>
      <c r="G11" s="624"/>
      <c r="H11" s="624"/>
      <c r="I11" s="624"/>
      <c r="J11" s="624"/>
      <c r="K11" s="717" t="s">
        <v>1867</v>
      </c>
      <c r="L11" s="624"/>
      <c r="M11" s="624"/>
      <c r="N11" s="624"/>
      <c r="O11" s="624"/>
      <c r="P11" s="717" t="s">
        <v>1867</v>
      </c>
      <c r="Q11" s="624"/>
      <c r="R11" s="624"/>
      <c r="S11" s="624"/>
      <c r="T11" s="624"/>
    </row>
    <row r="12" spans="1:20" ht="18" x14ac:dyDescent="0.25">
      <c r="A12" s="512" t="s">
        <v>1556</v>
      </c>
      <c r="B12" s="625" t="s">
        <v>1893</v>
      </c>
      <c r="C12" s="669" t="s">
        <v>1779</v>
      </c>
      <c r="D12" s="680" t="s">
        <v>1894</v>
      </c>
      <c r="E12" s="699" t="s">
        <v>1895</v>
      </c>
      <c r="F12" s="512" t="s">
        <v>1556</v>
      </c>
      <c r="G12" s="625" t="s">
        <v>1893</v>
      </c>
      <c r="H12" s="669" t="s">
        <v>1779</v>
      </c>
      <c r="I12" s="680" t="s">
        <v>1894</v>
      </c>
      <c r="J12" s="699" t="s">
        <v>1895</v>
      </c>
      <c r="K12" s="512" t="s">
        <v>1556</v>
      </c>
      <c r="L12" s="625" t="s">
        <v>1893</v>
      </c>
      <c r="M12" s="669" t="s">
        <v>1779</v>
      </c>
      <c r="N12" s="680" t="s">
        <v>1894</v>
      </c>
      <c r="O12" s="699" t="s">
        <v>1895</v>
      </c>
      <c r="P12" s="512" t="s">
        <v>1556</v>
      </c>
      <c r="Q12" s="625" t="s">
        <v>1893</v>
      </c>
      <c r="R12" s="669" t="s">
        <v>1779</v>
      </c>
      <c r="S12" s="680" t="s">
        <v>1894</v>
      </c>
      <c r="T12" s="699" t="s">
        <v>1895</v>
      </c>
    </row>
    <row r="13" spans="1:20" ht="18" x14ac:dyDescent="0.25">
      <c r="A13" s="512" t="s">
        <v>894</v>
      </c>
      <c r="B13" s="625"/>
      <c r="C13" s="626"/>
      <c r="D13" s="626"/>
      <c r="E13" s="626"/>
      <c r="F13" s="512" t="s">
        <v>894</v>
      </c>
      <c r="G13" s="625"/>
      <c r="H13" s="626"/>
      <c r="I13" s="626"/>
      <c r="J13" s="626"/>
      <c r="K13" s="512" t="s">
        <v>894</v>
      </c>
      <c r="L13" s="625"/>
      <c r="M13" s="626"/>
      <c r="N13" s="626"/>
      <c r="O13" s="626"/>
      <c r="P13" s="512" t="s">
        <v>894</v>
      </c>
      <c r="Q13" s="625"/>
      <c r="R13" s="626"/>
      <c r="S13" s="626"/>
      <c r="T13" s="626"/>
    </row>
    <row r="14" spans="1:20" ht="13.5" thickBot="1" x14ac:dyDescent="0.25">
      <c r="A14" s="716" t="s">
        <v>1880</v>
      </c>
      <c r="B14" s="718" t="s">
        <v>1880</v>
      </c>
      <c r="C14" s="715" t="s">
        <v>1880</v>
      </c>
      <c r="D14" s="716" t="s">
        <v>1880</v>
      </c>
      <c r="E14" s="517" t="s">
        <v>1880</v>
      </c>
      <c r="F14" s="716" t="s">
        <v>1880</v>
      </c>
      <c r="G14" s="718" t="s">
        <v>1880</v>
      </c>
      <c r="H14" s="517" t="s">
        <v>1880</v>
      </c>
      <c r="I14" s="716" t="s">
        <v>1880</v>
      </c>
      <c r="J14" s="517" t="s">
        <v>1880</v>
      </c>
      <c r="K14" s="716" t="s">
        <v>1880</v>
      </c>
      <c r="L14" s="718" t="s">
        <v>1880</v>
      </c>
      <c r="M14" s="517" t="s">
        <v>1880</v>
      </c>
      <c r="N14" s="716" t="s">
        <v>1880</v>
      </c>
      <c r="O14" s="517" t="s">
        <v>1880</v>
      </c>
      <c r="P14" s="716" t="s">
        <v>1880</v>
      </c>
      <c r="Q14" s="718" t="s">
        <v>1880</v>
      </c>
      <c r="R14" s="517" t="s">
        <v>1880</v>
      </c>
      <c r="S14" s="716" t="s">
        <v>1880</v>
      </c>
      <c r="T14" s="517" t="s">
        <v>1880</v>
      </c>
    </row>
    <row r="15" spans="1:20" ht="13.5" thickTop="1" x14ac:dyDescent="0.2">
      <c r="A15" s="627">
        <v>0.75</v>
      </c>
      <c r="B15" s="628">
        <v>0.75</v>
      </c>
      <c r="C15" s="670">
        <v>1.125</v>
      </c>
      <c r="D15" s="681"/>
      <c r="E15" s="631"/>
      <c r="F15" s="632">
        <v>3.5</v>
      </c>
      <c r="G15" s="629">
        <v>3.5</v>
      </c>
      <c r="H15" s="693">
        <v>3.75</v>
      </c>
      <c r="I15" s="630"/>
      <c r="J15" s="631"/>
      <c r="K15" s="633">
        <v>10</v>
      </c>
      <c r="L15" s="634">
        <v>10</v>
      </c>
      <c r="M15" s="670">
        <v>8.5</v>
      </c>
      <c r="N15" s="681"/>
      <c r="O15" s="631"/>
      <c r="P15" s="633">
        <v>20</v>
      </c>
      <c r="Q15" s="634">
        <v>20</v>
      </c>
      <c r="R15" s="673">
        <v>15</v>
      </c>
      <c r="S15" s="630"/>
      <c r="T15" s="631"/>
    </row>
    <row r="16" spans="1:20" ht="13.5" thickBot="1" x14ac:dyDescent="0.25">
      <c r="A16" s="635">
        <v>0.75</v>
      </c>
      <c r="B16" s="636">
        <v>0.5</v>
      </c>
      <c r="C16" s="671">
        <v>1.125</v>
      </c>
      <c r="D16" s="682">
        <v>1.125</v>
      </c>
      <c r="E16" s="700">
        <v>1.5</v>
      </c>
      <c r="F16" s="638" t="s">
        <v>1896</v>
      </c>
      <c r="G16" s="639">
        <v>3</v>
      </c>
      <c r="H16" s="672">
        <v>3.75</v>
      </c>
      <c r="I16" s="683">
        <v>3.625</v>
      </c>
      <c r="J16" s="702">
        <v>4</v>
      </c>
      <c r="K16" s="638" t="s">
        <v>1896</v>
      </c>
      <c r="L16" s="639">
        <v>8</v>
      </c>
      <c r="M16" s="672">
        <v>8.5</v>
      </c>
      <c r="N16" s="100">
        <v>8</v>
      </c>
      <c r="O16" s="702">
        <v>7</v>
      </c>
      <c r="P16" s="638" t="s">
        <v>1896</v>
      </c>
      <c r="Q16" s="639">
        <v>18</v>
      </c>
      <c r="R16" s="674">
        <v>15</v>
      </c>
      <c r="S16" s="683">
        <v>14.5</v>
      </c>
      <c r="T16" s="702">
        <v>20</v>
      </c>
    </row>
    <row r="17" spans="1:20" ht="13.5" thickTop="1" x14ac:dyDescent="0.2">
      <c r="A17" s="641">
        <v>1</v>
      </c>
      <c r="B17" s="634">
        <v>1</v>
      </c>
      <c r="C17" s="670">
        <v>1.5</v>
      </c>
      <c r="D17" s="681"/>
      <c r="E17" s="701"/>
      <c r="F17" s="638" t="s">
        <v>1896</v>
      </c>
      <c r="G17" s="640">
        <v>2.5</v>
      </c>
      <c r="H17" s="672">
        <v>3.75</v>
      </c>
      <c r="I17" s="683">
        <v>3.5</v>
      </c>
      <c r="J17" s="702">
        <v>4</v>
      </c>
      <c r="K17" s="638" t="s">
        <v>1896</v>
      </c>
      <c r="L17" s="639">
        <v>6</v>
      </c>
      <c r="M17" s="672">
        <v>8.5</v>
      </c>
      <c r="N17" s="683">
        <v>7.625</v>
      </c>
      <c r="O17" s="702">
        <v>7</v>
      </c>
      <c r="P17" s="638" t="s">
        <v>1896</v>
      </c>
      <c r="Q17" s="639">
        <v>16</v>
      </c>
      <c r="R17" s="674">
        <v>15</v>
      </c>
      <c r="S17" s="100">
        <v>14</v>
      </c>
      <c r="T17" s="702">
        <v>20</v>
      </c>
    </row>
    <row r="18" spans="1:20" x14ac:dyDescent="0.2">
      <c r="A18" s="642">
        <v>1</v>
      </c>
      <c r="B18" s="170">
        <v>0.75</v>
      </c>
      <c r="C18" s="672">
        <v>1.5</v>
      </c>
      <c r="D18" s="683">
        <v>1.5</v>
      </c>
      <c r="E18" s="702">
        <v>2</v>
      </c>
      <c r="F18" s="638" t="s">
        <v>1896</v>
      </c>
      <c r="G18" s="639">
        <v>2</v>
      </c>
      <c r="H18" s="672">
        <v>3.75</v>
      </c>
      <c r="I18" s="683">
        <v>3.25</v>
      </c>
      <c r="J18" s="702">
        <v>4</v>
      </c>
      <c r="K18" s="638" t="s">
        <v>1896</v>
      </c>
      <c r="L18" s="639">
        <v>5</v>
      </c>
      <c r="M18" s="672">
        <v>8.5</v>
      </c>
      <c r="N18" s="683">
        <v>7.5</v>
      </c>
      <c r="O18" s="702">
        <v>7</v>
      </c>
      <c r="P18" s="638" t="s">
        <v>1896</v>
      </c>
      <c r="Q18" s="639">
        <v>14</v>
      </c>
      <c r="R18" s="674">
        <v>15</v>
      </c>
      <c r="S18" s="100">
        <v>14</v>
      </c>
      <c r="T18" s="702">
        <v>20</v>
      </c>
    </row>
    <row r="19" spans="1:20" ht="13.5" thickBot="1" x14ac:dyDescent="0.25">
      <c r="A19" s="643">
        <v>1</v>
      </c>
      <c r="B19" s="636">
        <v>0.5</v>
      </c>
      <c r="C19" s="671">
        <v>1.5</v>
      </c>
      <c r="D19" s="682">
        <v>1.5</v>
      </c>
      <c r="E19" s="703">
        <v>2</v>
      </c>
      <c r="F19" s="644">
        <v>3.5</v>
      </c>
      <c r="G19" s="637">
        <v>1.5</v>
      </c>
      <c r="H19" s="671">
        <v>3.75</v>
      </c>
      <c r="I19" s="682">
        <v>3.125</v>
      </c>
      <c r="J19" s="703">
        <v>4</v>
      </c>
      <c r="K19" s="645">
        <v>10</v>
      </c>
      <c r="L19" s="646">
        <v>4</v>
      </c>
      <c r="M19" s="671">
        <v>8.5</v>
      </c>
      <c r="N19" s="682">
        <v>7.25</v>
      </c>
      <c r="O19" s="703">
        <v>7</v>
      </c>
      <c r="P19" s="638" t="s">
        <v>1896</v>
      </c>
      <c r="Q19" s="639">
        <v>12</v>
      </c>
      <c r="R19" s="674">
        <v>15</v>
      </c>
      <c r="S19" s="683">
        <v>13.625</v>
      </c>
      <c r="T19" s="702">
        <v>20</v>
      </c>
    </row>
    <row r="20" spans="1:20" ht="13.5" thickTop="1" x14ac:dyDescent="0.2">
      <c r="A20" s="632">
        <v>1.25</v>
      </c>
      <c r="B20" s="629">
        <v>1.25</v>
      </c>
      <c r="C20" s="670">
        <v>1.875</v>
      </c>
      <c r="D20" s="681"/>
      <c r="E20" s="701"/>
      <c r="F20" s="633">
        <v>4</v>
      </c>
      <c r="G20" s="634">
        <v>4</v>
      </c>
      <c r="H20" s="670">
        <v>4.125</v>
      </c>
      <c r="I20" s="681"/>
      <c r="J20" s="701"/>
      <c r="K20" s="633">
        <v>12</v>
      </c>
      <c r="L20" s="634">
        <v>12</v>
      </c>
      <c r="M20" s="673">
        <v>10</v>
      </c>
      <c r="N20" s="681"/>
      <c r="O20" s="701"/>
      <c r="P20" s="638" t="s">
        <v>1896</v>
      </c>
      <c r="Q20" s="639">
        <v>10</v>
      </c>
      <c r="R20" s="674">
        <v>15</v>
      </c>
      <c r="S20" s="683">
        <v>13.125</v>
      </c>
      <c r="T20" s="702">
        <v>20</v>
      </c>
    </row>
    <row r="21" spans="1:20" ht="13.5" thickBot="1" x14ac:dyDescent="0.25">
      <c r="A21" s="647" t="s">
        <v>1896</v>
      </c>
      <c r="B21" s="648">
        <v>1</v>
      </c>
      <c r="C21" s="672">
        <v>1.875</v>
      </c>
      <c r="D21" s="683">
        <v>1.875</v>
      </c>
      <c r="E21" s="702">
        <v>2</v>
      </c>
      <c r="F21" s="638" t="s">
        <v>1896</v>
      </c>
      <c r="G21" s="640">
        <v>3.5</v>
      </c>
      <c r="H21" s="672">
        <v>4.125</v>
      </c>
      <c r="I21" s="100">
        <v>4</v>
      </c>
      <c r="J21" s="702">
        <v>4</v>
      </c>
      <c r="K21" s="638" t="s">
        <v>1896</v>
      </c>
      <c r="L21" s="639">
        <v>10</v>
      </c>
      <c r="M21" s="674">
        <v>10</v>
      </c>
      <c r="N21" s="683">
        <v>9.5</v>
      </c>
      <c r="O21" s="702">
        <v>8</v>
      </c>
      <c r="P21" s="645">
        <v>20</v>
      </c>
      <c r="Q21" s="646">
        <v>8</v>
      </c>
      <c r="R21" s="675">
        <v>15</v>
      </c>
      <c r="S21" s="682">
        <v>12.75</v>
      </c>
      <c r="T21" s="703">
        <v>20</v>
      </c>
    </row>
    <row r="22" spans="1:20" ht="13.5" thickTop="1" x14ac:dyDescent="0.2">
      <c r="A22" s="647" t="s">
        <v>1896</v>
      </c>
      <c r="B22" s="16">
        <v>0.75</v>
      </c>
      <c r="C22" s="672">
        <v>1.875</v>
      </c>
      <c r="D22" s="683">
        <v>1.875</v>
      </c>
      <c r="E22" s="702">
        <v>2</v>
      </c>
      <c r="F22" s="638" t="s">
        <v>1896</v>
      </c>
      <c r="G22" s="639">
        <v>3</v>
      </c>
      <c r="H22" s="672">
        <v>4.125</v>
      </c>
      <c r="I22" s="683">
        <v>3.875</v>
      </c>
      <c r="J22" s="702">
        <v>4</v>
      </c>
      <c r="K22" s="638" t="s">
        <v>1896</v>
      </c>
      <c r="L22" s="639">
        <v>8</v>
      </c>
      <c r="M22" s="674">
        <v>10</v>
      </c>
      <c r="N22" s="100">
        <v>9</v>
      </c>
      <c r="O22" s="702">
        <v>8</v>
      </c>
      <c r="P22" s="633">
        <v>24</v>
      </c>
      <c r="Q22" s="634">
        <v>24</v>
      </c>
      <c r="R22" s="673">
        <v>17</v>
      </c>
      <c r="S22" s="681"/>
      <c r="T22" s="701"/>
    </row>
    <row r="23" spans="1:20" ht="13.5" thickBot="1" x14ac:dyDescent="0.25">
      <c r="A23" s="644">
        <v>1.25</v>
      </c>
      <c r="B23" s="636">
        <v>0.5</v>
      </c>
      <c r="C23" s="671">
        <v>1.875</v>
      </c>
      <c r="D23" s="682">
        <v>1.875</v>
      </c>
      <c r="E23" s="703">
        <v>2</v>
      </c>
      <c r="F23" s="638" t="s">
        <v>1896</v>
      </c>
      <c r="G23" s="640">
        <v>2.5</v>
      </c>
      <c r="H23" s="672">
        <v>4.125</v>
      </c>
      <c r="I23" s="683">
        <v>3.75</v>
      </c>
      <c r="J23" s="702">
        <v>4</v>
      </c>
      <c r="K23" s="638" t="s">
        <v>1896</v>
      </c>
      <c r="L23" s="639">
        <v>6</v>
      </c>
      <c r="M23" s="674">
        <v>10</v>
      </c>
      <c r="N23" s="683">
        <v>8.625</v>
      </c>
      <c r="O23" s="702">
        <v>8</v>
      </c>
      <c r="P23" s="638" t="s">
        <v>1896</v>
      </c>
      <c r="Q23" s="639">
        <v>20</v>
      </c>
      <c r="R23" s="674">
        <v>17</v>
      </c>
      <c r="S23" s="100">
        <v>17</v>
      </c>
      <c r="T23" s="702">
        <v>20</v>
      </c>
    </row>
    <row r="24" spans="1:20" ht="14.25" thickTop="1" thickBot="1" x14ac:dyDescent="0.25">
      <c r="A24" s="632">
        <v>1.5</v>
      </c>
      <c r="B24" s="629">
        <v>1.5</v>
      </c>
      <c r="C24" s="670">
        <v>2.25</v>
      </c>
      <c r="D24" s="684"/>
      <c r="E24" s="701"/>
      <c r="F24" s="638" t="s">
        <v>1896</v>
      </c>
      <c r="G24" s="639">
        <v>2</v>
      </c>
      <c r="H24" s="672">
        <v>4.125</v>
      </c>
      <c r="I24" s="683">
        <v>3.5</v>
      </c>
      <c r="J24" s="702">
        <v>4</v>
      </c>
      <c r="K24" s="645">
        <v>12</v>
      </c>
      <c r="L24" s="646">
        <v>5</v>
      </c>
      <c r="M24" s="675">
        <v>10</v>
      </c>
      <c r="N24" s="682">
        <v>8.5</v>
      </c>
      <c r="O24" s="703">
        <v>8</v>
      </c>
      <c r="P24" s="638" t="s">
        <v>1896</v>
      </c>
      <c r="Q24" s="639">
        <v>18</v>
      </c>
      <c r="R24" s="674">
        <v>17</v>
      </c>
      <c r="S24" s="683">
        <v>16.5</v>
      </c>
      <c r="T24" s="702">
        <v>20</v>
      </c>
    </row>
    <row r="25" spans="1:20" ht="14.25" thickTop="1" thickBot="1" x14ac:dyDescent="0.25">
      <c r="A25" s="647" t="s">
        <v>1896</v>
      </c>
      <c r="B25" s="640">
        <v>1.25</v>
      </c>
      <c r="C25" s="672">
        <v>2.25</v>
      </c>
      <c r="D25" s="683">
        <v>2.25</v>
      </c>
      <c r="E25" s="704">
        <v>2.5</v>
      </c>
      <c r="F25" s="645">
        <v>4</v>
      </c>
      <c r="G25" s="637">
        <v>1.5</v>
      </c>
      <c r="H25" s="671">
        <v>4.125</v>
      </c>
      <c r="I25" s="682">
        <v>3.375</v>
      </c>
      <c r="J25" s="703">
        <v>4</v>
      </c>
      <c r="K25" s="633">
        <v>14</v>
      </c>
      <c r="L25" s="634">
        <v>14</v>
      </c>
      <c r="M25" s="673">
        <v>11</v>
      </c>
      <c r="N25" s="681"/>
      <c r="O25" s="701"/>
      <c r="P25" s="638" t="s">
        <v>1896</v>
      </c>
      <c r="Q25" s="639">
        <v>16</v>
      </c>
      <c r="R25" s="674">
        <v>17</v>
      </c>
      <c r="S25" s="100">
        <v>16</v>
      </c>
      <c r="T25" s="702">
        <v>20</v>
      </c>
    </row>
    <row r="26" spans="1:20" ht="13.5" thickTop="1" x14ac:dyDescent="0.2">
      <c r="A26" s="647" t="s">
        <v>1896</v>
      </c>
      <c r="B26" s="639">
        <v>1</v>
      </c>
      <c r="C26" s="672">
        <v>2.25</v>
      </c>
      <c r="D26" s="683">
        <v>2.25</v>
      </c>
      <c r="E26" s="704">
        <v>2.5</v>
      </c>
      <c r="F26" s="633">
        <v>5</v>
      </c>
      <c r="G26" s="634">
        <v>5</v>
      </c>
      <c r="H26" s="693">
        <v>4.875</v>
      </c>
      <c r="I26" s="681"/>
      <c r="J26" s="701"/>
      <c r="K26" s="638" t="s">
        <v>1896</v>
      </c>
      <c r="L26" s="639">
        <v>12</v>
      </c>
      <c r="M26" s="674">
        <v>11</v>
      </c>
      <c r="N26" s="683">
        <v>10.625</v>
      </c>
      <c r="O26" s="702">
        <v>13</v>
      </c>
      <c r="P26" s="638" t="s">
        <v>1896</v>
      </c>
      <c r="Q26" s="639">
        <v>14</v>
      </c>
      <c r="R26" s="674">
        <v>17</v>
      </c>
      <c r="S26" s="100">
        <v>16</v>
      </c>
      <c r="T26" s="702">
        <v>20</v>
      </c>
    </row>
    <row r="27" spans="1:20" x14ac:dyDescent="0.2">
      <c r="A27" s="647" t="s">
        <v>1896</v>
      </c>
      <c r="B27" s="640">
        <v>0.75</v>
      </c>
      <c r="C27" s="672">
        <v>2.25</v>
      </c>
      <c r="D27" s="683">
        <v>2.25</v>
      </c>
      <c r="E27" s="704">
        <v>2.5</v>
      </c>
      <c r="F27" s="647" t="s">
        <v>1896</v>
      </c>
      <c r="G27" s="639">
        <v>4</v>
      </c>
      <c r="H27" s="672">
        <v>4.875</v>
      </c>
      <c r="I27" s="683">
        <v>4.625</v>
      </c>
      <c r="J27" s="702">
        <v>5</v>
      </c>
      <c r="K27" s="638" t="s">
        <v>1896</v>
      </c>
      <c r="L27" s="639">
        <v>10</v>
      </c>
      <c r="M27" s="674">
        <v>11</v>
      </c>
      <c r="N27" s="683">
        <v>10.125</v>
      </c>
      <c r="O27" s="702">
        <v>13</v>
      </c>
      <c r="P27" s="638" t="s">
        <v>1896</v>
      </c>
      <c r="Q27" s="639">
        <v>12</v>
      </c>
      <c r="R27" s="674">
        <v>17</v>
      </c>
      <c r="S27" s="683">
        <v>15.625</v>
      </c>
      <c r="T27" s="702">
        <v>20</v>
      </c>
    </row>
    <row r="28" spans="1:20" ht="13.5" thickBot="1" x14ac:dyDescent="0.25">
      <c r="A28" s="644">
        <v>1.5</v>
      </c>
      <c r="B28" s="637">
        <v>0.5</v>
      </c>
      <c r="C28" s="671">
        <v>2.25</v>
      </c>
      <c r="D28" s="682">
        <v>2.25</v>
      </c>
      <c r="E28" s="700">
        <v>2.5</v>
      </c>
      <c r="F28" s="638" t="s">
        <v>1896</v>
      </c>
      <c r="G28" s="640">
        <v>3.5</v>
      </c>
      <c r="H28" s="672">
        <v>4.875</v>
      </c>
      <c r="I28" s="683">
        <v>4.5</v>
      </c>
      <c r="J28" s="702">
        <v>5</v>
      </c>
      <c r="K28" s="638" t="s">
        <v>1896</v>
      </c>
      <c r="L28" s="639">
        <v>8</v>
      </c>
      <c r="M28" s="674">
        <v>11</v>
      </c>
      <c r="N28" s="683">
        <v>9.75</v>
      </c>
      <c r="O28" s="702">
        <v>13</v>
      </c>
      <c r="P28" s="645">
        <v>24</v>
      </c>
      <c r="Q28" s="646">
        <v>10</v>
      </c>
      <c r="R28" s="675">
        <v>17</v>
      </c>
      <c r="S28" s="682">
        <v>15.125</v>
      </c>
      <c r="T28" s="703">
        <v>20</v>
      </c>
    </row>
    <row r="29" spans="1:20" ht="14.25" thickTop="1" thickBot="1" x14ac:dyDescent="0.25">
      <c r="A29" s="633">
        <v>2</v>
      </c>
      <c r="B29" s="634">
        <v>2</v>
      </c>
      <c r="C29" s="670">
        <v>2.5</v>
      </c>
      <c r="D29" s="681"/>
      <c r="E29" s="701"/>
      <c r="F29" s="647" t="s">
        <v>1896</v>
      </c>
      <c r="G29" s="639">
        <v>3</v>
      </c>
      <c r="H29" s="672">
        <v>4.875</v>
      </c>
      <c r="I29" s="683">
        <v>4.375</v>
      </c>
      <c r="J29" s="702">
        <v>5</v>
      </c>
      <c r="K29" s="645">
        <v>14</v>
      </c>
      <c r="L29" s="646">
        <v>6</v>
      </c>
      <c r="M29" s="675">
        <v>11</v>
      </c>
      <c r="N29" s="682">
        <v>9.375</v>
      </c>
      <c r="O29" s="703">
        <v>13</v>
      </c>
      <c r="P29" s="633">
        <v>30</v>
      </c>
      <c r="Q29" s="634">
        <v>30</v>
      </c>
      <c r="R29" s="695">
        <v>22</v>
      </c>
      <c r="S29" s="681"/>
      <c r="T29" s="701"/>
    </row>
    <row r="30" spans="1:20" ht="13.5" thickTop="1" x14ac:dyDescent="0.2">
      <c r="A30" s="638" t="s">
        <v>1896</v>
      </c>
      <c r="B30" s="640">
        <v>1.5</v>
      </c>
      <c r="C30" s="672">
        <v>2.5</v>
      </c>
      <c r="D30" s="683">
        <v>2.375</v>
      </c>
      <c r="E30" s="702">
        <v>3</v>
      </c>
      <c r="F30" s="638" t="s">
        <v>1896</v>
      </c>
      <c r="G30" s="640">
        <v>2.5</v>
      </c>
      <c r="H30" s="672">
        <v>4.875</v>
      </c>
      <c r="I30" s="683">
        <v>4.25</v>
      </c>
      <c r="J30" s="702">
        <v>5</v>
      </c>
      <c r="K30" s="633">
        <v>16</v>
      </c>
      <c r="L30" s="634">
        <v>16</v>
      </c>
      <c r="M30" s="673">
        <v>12</v>
      </c>
      <c r="N30" s="681"/>
      <c r="O30" s="701"/>
      <c r="P30" s="638" t="s">
        <v>1896</v>
      </c>
      <c r="Q30" s="639">
        <v>24</v>
      </c>
      <c r="R30" s="674">
        <v>22</v>
      </c>
      <c r="S30" s="100">
        <v>21</v>
      </c>
      <c r="T30" s="702">
        <v>24</v>
      </c>
    </row>
    <row r="31" spans="1:20" ht="13.5" thickBot="1" x14ac:dyDescent="0.25">
      <c r="A31" s="638" t="s">
        <v>1896</v>
      </c>
      <c r="B31" s="640">
        <v>1.25</v>
      </c>
      <c r="C31" s="672">
        <v>2.5</v>
      </c>
      <c r="D31" s="683">
        <v>2.25</v>
      </c>
      <c r="E31" s="702">
        <v>3</v>
      </c>
      <c r="F31" s="649">
        <v>5</v>
      </c>
      <c r="G31" s="648">
        <v>2</v>
      </c>
      <c r="H31" s="694">
        <v>4.875</v>
      </c>
      <c r="I31" s="685">
        <v>4.125</v>
      </c>
      <c r="J31" s="705">
        <v>5</v>
      </c>
      <c r="K31" s="638" t="s">
        <v>1896</v>
      </c>
      <c r="L31" s="639">
        <v>14</v>
      </c>
      <c r="M31" s="674">
        <v>12</v>
      </c>
      <c r="N31" s="100">
        <v>12</v>
      </c>
      <c r="O31" s="702">
        <v>14</v>
      </c>
      <c r="P31" s="638" t="s">
        <v>1896</v>
      </c>
      <c r="Q31" s="639">
        <v>20</v>
      </c>
      <c r="R31" s="674">
        <v>22</v>
      </c>
      <c r="S31" s="100">
        <v>20</v>
      </c>
      <c r="T31" s="702">
        <v>24</v>
      </c>
    </row>
    <row r="32" spans="1:20" ht="13.5" thickTop="1" x14ac:dyDescent="0.2">
      <c r="A32" s="638" t="s">
        <v>1896</v>
      </c>
      <c r="B32" s="639">
        <v>1</v>
      </c>
      <c r="C32" s="672">
        <v>2.5</v>
      </c>
      <c r="D32" s="100">
        <v>2</v>
      </c>
      <c r="E32" s="702">
        <v>3</v>
      </c>
      <c r="F32" s="633">
        <v>6</v>
      </c>
      <c r="G32" s="634">
        <v>6</v>
      </c>
      <c r="H32" s="693">
        <v>5.625</v>
      </c>
      <c r="I32" s="681"/>
      <c r="J32" s="701"/>
      <c r="K32" s="638" t="s">
        <v>1896</v>
      </c>
      <c r="L32" s="639">
        <v>12</v>
      </c>
      <c r="M32" s="674">
        <v>12</v>
      </c>
      <c r="N32" s="683">
        <v>11.625</v>
      </c>
      <c r="O32" s="702">
        <v>14</v>
      </c>
      <c r="P32" s="638" t="s">
        <v>1896</v>
      </c>
      <c r="Q32" s="639">
        <v>18</v>
      </c>
      <c r="R32" s="674">
        <v>22</v>
      </c>
      <c r="S32" s="683">
        <v>19.5</v>
      </c>
      <c r="T32" s="702">
        <v>24</v>
      </c>
    </row>
    <row r="33" spans="1:20" ht="13.5" thickBot="1" x14ac:dyDescent="0.25">
      <c r="A33" s="645">
        <v>2</v>
      </c>
      <c r="B33" s="636">
        <v>0.75</v>
      </c>
      <c r="C33" s="671">
        <v>2.5</v>
      </c>
      <c r="D33" s="682">
        <v>1.75</v>
      </c>
      <c r="E33" s="703">
        <v>3</v>
      </c>
      <c r="F33" s="638" t="s">
        <v>1896</v>
      </c>
      <c r="G33" s="639">
        <v>5</v>
      </c>
      <c r="H33" s="672">
        <v>5.625</v>
      </c>
      <c r="I33" s="683">
        <v>5.375</v>
      </c>
      <c r="J33" s="704">
        <v>5.5</v>
      </c>
      <c r="K33" s="638" t="s">
        <v>1896</v>
      </c>
      <c r="L33" s="639">
        <v>10</v>
      </c>
      <c r="M33" s="674">
        <v>12</v>
      </c>
      <c r="N33" s="683">
        <v>11.125</v>
      </c>
      <c r="O33" s="702">
        <v>14</v>
      </c>
      <c r="P33" s="638" t="s">
        <v>1896</v>
      </c>
      <c r="Q33" s="639">
        <v>16</v>
      </c>
      <c r="R33" s="674">
        <v>22</v>
      </c>
      <c r="S33" s="100">
        <v>19</v>
      </c>
      <c r="T33" s="702">
        <v>24</v>
      </c>
    </row>
    <row r="34" spans="1:20" ht="14.25" thickTop="1" thickBot="1" x14ac:dyDescent="0.25">
      <c r="A34" s="632">
        <v>2.5</v>
      </c>
      <c r="B34" s="629">
        <v>2.5</v>
      </c>
      <c r="C34" s="673">
        <v>3</v>
      </c>
      <c r="D34" s="681"/>
      <c r="E34" s="701"/>
      <c r="F34" s="638" t="s">
        <v>1896</v>
      </c>
      <c r="G34" s="639">
        <v>4</v>
      </c>
      <c r="H34" s="672">
        <v>5.625</v>
      </c>
      <c r="I34" s="683">
        <v>5.125</v>
      </c>
      <c r="J34" s="704">
        <v>5.5</v>
      </c>
      <c r="K34" s="638" t="s">
        <v>1896</v>
      </c>
      <c r="L34" s="639">
        <v>8</v>
      </c>
      <c r="M34" s="674">
        <v>12</v>
      </c>
      <c r="N34" s="683">
        <v>10.75</v>
      </c>
      <c r="O34" s="702">
        <v>14</v>
      </c>
      <c r="P34" s="645">
        <v>30</v>
      </c>
      <c r="Q34" s="646">
        <v>14</v>
      </c>
      <c r="R34" s="675">
        <v>22</v>
      </c>
      <c r="S34" s="686">
        <v>19</v>
      </c>
      <c r="T34" s="703">
        <v>24</v>
      </c>
    </row>
    <row r="35" spans="1:20" ht="14.25" thickTop="1" thickBot="1" x14ac:dyDescent="0.25">
      <c r="A35" s="638" t="s">
        <v>1896</v>
      </c>
      <c r="B35" s="639">
        <v>2</v>
      </c>
      <c r="C35" s="674">
        <v>3</v>
      </c>
      <c r="D35" s="683">
        <v>2.75</v>
      </c>
      <c r="E35" s="704">
        <v>3.5</v>
      </c>
      <c r="F35" s="638" t="s">
        <v>1896</v>
      </c>
      <c r="G35" s="640">
        <v>3.5</v>
      </c>
      <c r="H35" s="672">
        <v>5.625</v>
      </c>
      <c r="I35" s="100">
        <v>5</v>
      </c>
      <c r="J35" s="704">
        <v>5.5</v>
      </c>
      <c r="K35" s="645">
        <v>16</v>
      </c>
      <c r="L35" s="646">
        <v>6</v>
      </c>
      <c r="M35" s="675">
        <v>12</v>
      </c>
      <c r="N35" s="682">
        <v>10.375</v>
      </c>
      <c r="O35" s="703">
        <v>14</v>
      </c>
      <c r="P35" s="633">
        <v>36</v>
      </c>
      <c r="Q35" s="634">
        <v>36</v>
      </c>
      <c r="R35" s="670">
        <v>26.5</v>
      </c>
      <c r="S35" s="681"/>
      <c r="T35" s="701"/>
    </row>
    <row r="36" spans="1:20" ht="13.5" thickTop="1" x14ac:dyDescent="0.2">
      <c r="A36" s="638" t="s">
        <v>1896</v>
      </c>
      <c r="B36" s="640">
        <v>1.5</v>
      </c>
      <c r="C36" s="674">
        <v>3</v>
      </c>
      <c r="D36" s="683">
        <v>2.625</v>
      </c>
      <c r="E36" s="704">
        <v>3.5</v>
      </c>
      <c r="F36" s="638" t="s">
        <v>1896</v>
      </c>
      <c r="G36" s="639">
        <v>3</v>
      </c>
      <c r="H36" s="672">
        <v>5.625</v>
      </c>
      <c r="I36" s="683">
        <v>4.875</v>
      </c>
      <c r="J36" s="704">
        <v>5.5</v>
      </c>
      <c r="K36" s="633">
        <v>18</v>
      </c>
      <c r="L36" s="634">
        <v>18</v>
      </c>
      <c r="M36" s="670">
        <v>13.5</v>
      </c>
      <c r="N36" s="681"/>
      <c r="O36" s="701"/>
      <c r="P36" s="638" t="s">
        <v>1896</v>
      </c>
      <c r="Q36" s="639">
        <v>30</v>
      </c>
      <c r="R36" s="672">
        <v>26.5</v>
      </c>
      <c r="S36" s="100">
        <v>25</v>
      </c>
      <c r="T36" s="702">
        <v>24</v>
      </c>
    </row>
    <row r="37" spans="1:20" ht="13.5" thickBot="1" x14ac:dyDescent="0.25">
      <c r="A37" s="638" t="s">
        <v>1896</v>
      </c>
      <c r="B37" s="640">
        <v>1.25</v>
      </c>
      <c r="C37" s="674">
        <v>3</v>
      </c>
      <c r="D37" s="683">
        <v>2.5</v>
      </c>
      <c r="E37" s="704">
        <v>3.5</v>
      </c>
      <c r="F37" s="645">
        <v>6</v>
      </c>
      <c r="G37" s="637">
        <v>2.5</v>
      </c>
      <c r="H37" s="671">
        <v>5.625</v>
      </c>
      <c r="I37" s="682">
        <v>4.75</v>
      </c>
      <c r="J37" s="700">
        <v>5.5</v>
      </c>
      <c r="K37" s="638" t="s">
        <v>1896</v>
      </c>
      <c r="L37" s="639">
        <v>16</v>
      </c>
      <c r="M37" s="672">
        <v>13.5</v>
      </c>
      <c r="N37" s="100">
        <v>13</v>
      </c>
      <c r="O37" s="702">
        <v>15</v>
      </c>
      <c r="P37" s="638" t="s">
        <v>1896</v>
      </c>
      <c r="Q37" s="639">
        <v>24</v>
      </c>
      <c r="R37" s="672">
        <v>26.5</v>
      </c>
      <c r="S37" s="100">
        <v>24</v>
      </c>
      <c r="T37" s="702">
        <v>24</v>
      </c>
    </row>
    <row r="38" spans="1:20" ht="14.25" thickTop="1" thickBot="1" x14ac:dyDescent="0.25">
      <c r="A38" s="644">
        <v>2.5</v>
      </c>
      <c r="B38" s="646">
        <v>1</v>
      </c>
      <c r="C38" s="675">
        <v>3</v>
      </c>
      <c r="D38" s="682">
        <v>2.25</v>
      </c>
      <c r="E38" s="700">
        <v>3.5</v>
      </c>
      <c r="F38" s="633">
        <v>8</v>
      </c>
      <c r="G38" s="634">
        <v>8</v>
      </c>
      <c r="H38" s="673">
        <v>7</v>
      </c>
      <c r="I38" s="681"/>
      <c r="J38" s="701"/>
      <c r="K38" s="638" t="s">
        <v>1896</v>
      </c>
      <c r="L38" s="639">
        <v>14</v>
      </c>
      <c r="M38" s="672">
        <v>13.5</v>
      </c>
      <c r="N38" s="100">
        <v>13</v>
      </c>
      <c r="O38" s="702">
        <v>15</v>
      </c>
      <c r="P38" s="638" t="s">
        <v>1896</v>
      </c>
      <c r="Q38" s="639">
        <v>20</v>
      </c>
      <c r="R38" s="672">
        <v>26.5</v>
      </c>
      <c r="S38" s="100">
        <v>23</v>
      </c>
      <c r="T38" s="702">
        <v>24</v>
      </c>
    </row>
    <row r="39" spans="1:20" ht="13.5" thickTop="1" x14ac:dyDescent="0.2">
      <c r="A39" s="633">
        <v>3</v>
      </c>
      <c r="B39" s="634">
        <v>3</v>
      </c>
      <c r="C39" s="670">
        <v>3.375</v>
      </c>
      <c r="D39" s="681"/>
      <c r="E39" s="701"/>
      <c r="F39" s="638" t="s">
        <v>1896</v>
      </c>
      <c r="G39" s="639">
        <v>6</v>
      </c>
      <c r="H39" s="674">
        <v>7</v>
      </c>
      <c r="I39" s="683">
        <v>6.625</v>
      </c>
      <c r="J39" s="702">
        <v>6</v>
      </c>
      <c r="K39" s="638" t="s">
        <v>1896</v>
      </c>
      <c r="L39" s="639">
        <v>12</v>
      </c>
      <c r="M39" s="672">
        <v>13.5</v>
      </c>
      <c r="N39" s="683">
        <v>12.625</v>
      </c>
      <c r="O39" s="702">
        <v>15</v>
      </c>
      <c r="P39" s="638" t="s">
        <v>1896</v>
      </c>
      <c r="Q39" s="639">
        <v>18</v>
      </c>
      <c r="R39" s="672">
        <v>26.5</v>
      </c>
      <c r="S39" s="683">
        <v>22.5</v>
      </c>
      <c r="T39" s="702">
        <v>24</v>
      </c>
    </row>
    <row r="40" spans="1:20" ht="13.5" thickBot="1" x14ac:dyDescent="0.25">
      <c r="A40" s="638" t="s">
        <v>1896</v>
      </c>
      <c r="B40" s="640">
        <v>2.5</v>
      </c>
      <c r="C40" s="672">
        <v>3.375</v>
      </c>
      <c r="D40" s="683">
        <v>3.25</v>
      </c>
      <c r="E40" s="704">
        <v>3.5</v>
      </c>
      <c r="F40" s="638" t="s">
        <v>1896</v>
      </c>
      <c r="G40" s="639">
        <v>5</v>
      </c>
      <c r="H40" s="674">
        <v>7</v>
      </c>
      <c r="I40" s="683">
        <v>6.375</v>
      </c>
      <c r="J40" s="702">
        <v>6</v>
      </c>
      <c r="K40" s="638" t="s">
        <v>1896</v>
      </c>
      <c r="L40" s="639">
        <v>10</v>
      </c>
      <c r="M40" s="672">
        <v>13.5</v>
      </c>
      <c r="N40" s="683">
        <v>12.125</v>
      </c>
      <c r="O40" s="702">
        <v>15</v>
      </c>
      <c r="P40" s="645">
        <v>36</v>
      </c>
      <c r="Q40" s="646">
        <v>16</v>
      </c>
      <c r="R40" s="671">
        <v>26.5</v>
      </c>
      <c r="S40" s="686">
        <v>22</v>
      </c>
      <c r="T40" s="703">
        <v>24</v>
      </c>
    </row>
    <row r="41" spans="1:20" ht="14.25" thickTop="1" thickBot="1" x14ac:dyDescent="0.25">
      <c r="A41" s="638" t="s">
        <v>1896</v>
      </c>
      <c r="B41" s="639">
        <v>2</v>
      </c>
      <c r="C41" s="672">
        <v>3.375</v>
      </c>
      <c r="D41" s="100">
        <v>3</v>
      </c>
      <c r="E41" s="704">
        <v>3.5</v>
      </c>
      <c r="F41" s="638" t="s">
        <v>1896</v>
      </c>
      <c r="G41" s="639">
        <v>4</v>
      </c>
      <c r="H41" s="674">
        <v>7</v>
      </c>
      <c r="I41" s="683">
        <v>6.125</v>
      </c>
      <c r="J41" s="702">
        <v>6</v>
      </c>
      <c r="K41" s="645">
        <v>18</v>
      </c>
      <c r="L41" s="646">
        <v>8</v>
      </c>
      <c r="M41" s="671">
        <v>13.5</v>
      </c>
      <c r="N41" s="682">
        <v>11.75</v>
      </c>
      <c r="O41" s="706">
        <v>15</v>
      </c>
      <c r="P41" s="633">
        <v>42</v>
      </c>
      <c r="Q41" s="634">
        <v>42</v>
      </c>
      <c r="R41" s="673">
        <v>30</v>
      </c>
      <c r="S41" s="687">
        <v>28</v>
      </c>
      <c r="T41" s="701"/>
    </row>
    <row r="42" spans="1:20" ht="14.25" thickTop="1" thickBot="1" x14ac:dyDescent="0.25">
      <c r="A42" s="638" t="s">
        <v>1896</v>
      </c>
      <c r="B42" s="640">
        <v>1.5</v>
      </c>
      <c r="C42" s="672">
        <v>3.375</v>
      </c>
      <c r="D42" s="683">
        <v>2.875</v>
      </c>
      <c r="E42" s="704">
        <v>3.5</v>
      </c>
      <c r="F42" s="645">
        <v>8</v>
      </c>
      <c r="G42" s="637">
        <v>3.5</v>
      </c>
      <c r="H42" s="675">
        <v>7</v>
      </c>
      <c r="I42" s="686">
        <v>6</v>
      </c>
      <c r="J42" s="703">
        <v>6</v>
      </c>
      <c r="K42" s="651"/>
      <c r="L42" s="652"/>
      <c r="M42" s="652"/>
      <c r="N42" s="652"/>
      <c r="O42" s="652"/>
      <c r="P42" s="638" t="s">
        <v>1896</v>
      </c>
      <c r="Q42" s="639">
        <v>36</v>
      </c>
      <c r="R42" s="674">
        <v>30</v>
      </c>
      <c r="S42" s="100">
        <v>28</v>
      </c>
      <c r="T42" s="702">
        <v>24</v>
      </c>
    </row>
    <row r="43" spans="1:20" ht="14.25" thickTop="1" thickBot="1" x14ac:dyDescent="0.25">
      <c r="A43" s="645">
        <v>3</v>
      </c>
      <c r="B43" s="637">
        <v>1.25</v>
      </c>
      <c r="C43" s="671">
        <v>3.375</v>
      </c>
      <c r="D43" s="682">
        <v>2.75</v>
      </c>
      <c r="E43" s="700">
        <v>3.5</v>
      </c>
      <c r="F43" s="653"/>
      <c r="G43" s="652"/>
      <c r="H43" s="652"/>
      <c r="I43" s="652"/>
      <c r="J43" s="652"/>
      <c r="K43" s="651"/>
      <c r="L43" s="652"/>
      <c r="M43" s="652"/>
      <c r="N43" s="652"/>
      <c r="O43" s="652"/>
      <c r="P43" s="638" t="s">
        <v>1896</v>
      </c>
      <c r="Q43" s="639">
        <v>30</v>
      </c>
      <c r="R43" s="674">
        <v>30</v>
      </c>
      <c r="S43" s="100">
        <v>28</v>
      </c>
      <c r="T43" s="702">
        <v>24</v>
      </c>
    </row>
    <row r="44" spans="1:20" ht="13.5" thickTop="1" x14ac:dyDescent="0.2">
      <c r="A44" s="654"/>
      <c r="B44" s="654"/>
      <c r="C44" s="654"/>
      <c r="D44" s="654"/>
      <c r="E44" s="654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638" t="s">
        <v>1896</v>
      </c>
      <c r="Q44" s="75">
        <v>24</v>
      </c>
      <c r="R44" s="696">
        <v>30</v>
      </c>
      <c r="S44" s="415">
        <v>26</v>
      </c>
      <c r="T44" s="707">
        <v>24</v>
      </c>
    </row>
    <row r="45" spans="1:20" ht="13.5" thickBot="1" x14ac:dyDescent="0.25">
      <c r="A45" s="654"/>
      <c r="B45" s="654"/>
      <c r="C45" s="654"/>
      <c r="D45" s="654"/>
      <c r="E45" s="654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645">
        <v>42</v>
      </c>
      <c r="Q45" s="655">
        <v>20</v>
      </c>
      <c r="R45" s="697">
        <v>30</v>
      </c>
      <c r="S45" s="688">
        <v>26</v>
      </c>
      <c r="T45" s="708">
        <v>24</v>
      </c>
    </row>
    <row r="46" spans="1:20" ht="13.5" thickTop="1" x14ac:dyDescent="0.2">
      <c r="A46" s="654"/>
      <c r="B46" s="654"/>
      <c r="C46" s="654"/>
      <c r="D46" s="654"/>
      <c r="E46" s="654"/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641">
        <v>48</v>
      </c>
      <c r="Q46" s="650">
        <v>48</v>
      </c>
      <c r="R46" s="698">
        <v>35</v>
      </c>
      <c r="S46" s="687">
        <v>33</v>
      </c>
      <c r="T46" s="701"/>
    </row>
    <row r="47" spans="1:20" x14ac:dyDescent="0.2">
      <c r="A47" s="654"/>
      <c r="B47" s="654"/>
      <c r="C47" s="654"/>
      <c r="D47" s="654"/>
      <c r="E47" s="654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638" t="s">
        <v>1896</v>
      </c>
      <c r="Q47" s="75">
        <v>42</v>
      </c>
      <c r="R47" s="696">
        <v>35</v>
      </c>
      <c r="S47" s="415">
        <v>32</v>
      </c>
      <c r="T47" s="707">
        <v>28</v>
      </c>
    </row>
    <row r="48" spans="1:20" x14ac:dyDescent="0.2">
      <c r="A48" s="654"/>
      <c r="B48" s="654"/>
      <c r="C48" s="654"/>
      <c r="D48" s="654"/>
      <c r="E48" s="654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638" t="s">
        <v>1896</v>
      </c>
      <c r="Q48" s="75">
        <v>36</v>
      </c>
      <c r="R48" s="696">
        <v>35</v>
      </c>
      <c r="S48" s="415">
        <v>31</v>
      </c>
      <c r="T48" s="707">
        <v>28</v>
      </c>
    </row>
    <row r="49" spans="1:20" ht="13.5" thickBot="1" x14ac:dyDescent="0.25">
      <c r="A49" s="654"/>
      <c r="B49" s="654"/>
      <c r="C49" s="654"/>
      <c r="D49" s="654"/>
      <c r="E49" s="654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643">
        <v>48</v>
      </c>
      <c r="Q49" s="655">
        <v>30</v>
      </c>
      <c r="R49" s="697">
        <v>35</v>
      </c>
      <c r="S49" s="688">
        <v>30</v>
      </c>
      <c r="T49" s="708">
        <v>28</v>
      </c>
    </row>
    <row r="50" spans="1:20" ht="13.5" thickTop="1" x14ac:dyDescent="0.2">
      <c r="A50" s="654"/>
      <c r="B50" s="654"/>
      <c r="C50" s="654"/>
      <c r="D50" s="654"/>
      <c r="E50" s="654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656"/>
      <c r="Q50" s="31"/>
      <c r="R50" s="31"/>
      <c r="S50" s="31"/>
      <c r="T50" s="31"/>
    </row>
    <row r="51" spans="1:20" x14ac:dyDescent="0.2">
      <c r="A51" s="31"/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656"/>
      <c r="Q51" s="31"/>
      <c r="R51" s="31"/>
      <c r="S51" s="31"/>
      <c r="T51" s="31"/>
    </row>
    <row r="61" spans="1:20" ht="18.75" thickBot="1" x14ac:dyDescent="0.3">
      <c r="B61" s="389" t="s">
        <v>1897</v>
      </c>
    </row>
    <row r="62" spans="1:20" ht="13.5" thickTop="1" x14ac:dyDescent="0.2">
      <c r="A62" s="717" t="s">
        <v>1867</v>
      </c>
      <c r="B62" s="624"/>
      <c r="C62" s="624"/>
      <c r="D62" s="624"/>
      <c r="E62" s="624"/>
      <c r="F62" s="717" t="s">
        <v>1867</v>
      </c>
      <c r="G62" s="624"/>
      <c r="H62" s="624"/>
      <c r="I62" s="624"/>
      <c r="J62" s="624"/>
      <c r="K62" s="717" t="s">
        <v>1867</v>
      </c>
      <c r="L62" s="624"/>
      <c r="M62" s="624"/>
      <c r="N62" s="624"/>
      <c r="O62" s="624"/>
      <c r="P62" s="717" t="s">
        <v>1867</v>
      </c>
      <c r="Q62" s="624"/>
      <c r="R62" s="624"/>
      <c r="S62" s="624"/>
      <c r="T62" s="624"/>
    </row>
    <row r="63" spans="1:20" ht="18" x14ac:dyDescent="0.25">
      <c r="A63" s="512" t="s">
        <v>1556</v>
      </c>
      <c r="B63" s="625" t="s">
        <v>1893</v>
      </c>
      <c r="C63" s="669" t="s">
        <v>1779</v>
      </c>
      <c r="D63" s="680" t="s">
        <v>1894</v>
      </c>
      <c r="E63" s="699" t="s">
        <v>1895</v>
      </c>
      <c r="F63" s="512" t="s">
        <v>1556</v>
      </c>
      <c r="G63" s="625" t="s">
        <v>1893</v>
      </c>
      <c r="H63" s="669" t="s">
        <v>1779</v>
      </c>
      <c r="I63" s="680" t="s">
        <v>1894</v>
      </c>
      <c r="J63" s="699" t="s">
        <v>1895</v>
      </c>
      <c r="K63" s="512" t="s">
        <v>1556</v>
      </c>
      <c r="L63" s="625" t="s">
        <v>1893</v>
      </c>
      <c r="M63" s="669" t="s">
        <v>1779</v>
      </c>
      <c r="N63" s="680" t="s">
        <v>1894</v>
      </c>
      <c r="O63" s="699" t="s">
        <v>1895</v>
      </c>
      <c r="P63" s="512" t="s">
        <v>1556</v>
      </c>
      <c r="Q63" s="625" t="s">
        <v>1893</v>
      </c>
      <c r="R63" s="669" t="s">
        <v>1779</v>
      </c>
      <c r="S63" s="680" t="s">
        <v>1894</v>
      </c>
      <c r="T63" s="699" t="s">
        <v>1895</v>
      </c>
    </row>
    <row r="64" spans="1:20" ht="18" x14ac:dyDescent="0.25">
      <c r="A64" s="512" t="s">
        <v>894</v>
      </c>
      <c r="B64" s="625"/>
      <c r="C64" s="626"/>
      <c r="D64" s="626"/>
      <c r="E64" s="626"/>
      <c r="F64" s="512" t="s">
        <v>894</v>
      </c>
      <c r="G64" s="625"/>
      <c r="H64" s="626"/>
      <c r="I64" s="626"/>
      <c r="J64" s="626"/>
      <c r="K64" s="512" t="s">
        <v>894</v>
      </c>
      <c r="L64" s="625"/>
      <c r="M64" s="626"/>
      <c r="N64" s="626"/>
      <c r="O64" s="626"/>
      <c r="P64" s="512" t="s">
        <v>894</v>
      </c>
      <c r="Q64" s="625"/>
      <c r="R64" s="626"/>
      <c r="S64" s="626"/>
      <c r="T64" s="626"/>
    </row>
    <row r="65" spans="1:20" ht="13.5" thickBot="1" x14ac:dyDescent="0.25">
      <c r="A65" s="716" t="s">
        <v>1803</v>
      </c>
      <c r="B65" s="718" t="s">
        <v>1803</v>
      </c>
      <c r="C65" s="715" t="s">
        <v>1803</v>
      </c>
      <c r="D65" s="716" t="s">
        <v>1803</v>
      </c>
      <c r="E65" s="714" t="s">
        <v>1803</v>
      </c>
      <c r="F65" s="716" t="s">
        <v>1803</v>
      </c>
      <c r="G65" s="718" t="s">
        <v>1803</v>
      </c>
      <c r="H65" s="715" t="s">
        <v>1803</v>
      </c>
      <c r="I65" s="716" t="s">
        <v>1803</v>
      </c>
      <c r="J65" s="714" t="s">
        <v>1803</v>
      </c>
      <c r="K65" s="716" t="s">
        <v>1803</v>
      </c>
      <c r="L65" s="718" t="s">
        <v>1803</v>
      </c>
      <c r="M65" s="715" t="s">
        <v>1803</v>
      </c>
      <c r="N65" s="716" t="s">
        <v>1803</v>
      </c>
      <c r="O65" s="714" t="s">
        <v>1803</v>
      </c>
      <c r="P65" s="716" t="s">
        <v>1803</v>
      </c>
      <c r="Q65" s="718" t="s">
        <v>1803</v>
      </c>
      <c r="R65" s="517" t="s">
        <v>1803</v>
      </c>
      <c r="S65" s="716" t="s">
        <v>1803</v>
      </c>
      <c r="T65" s="714" t="s">
        <v>1803</v>
      </c>
    </row>
    <row r="66" spans="1:20" ht="13.5" thickTop="1" x14ac:dyDescent="0.2">
      <c r="A66" s="657">
        <f t="shared" ref="A66:C71" si="0">A15*25.4</f>
        <v>19.049999999999997</v>
      </c>
      <c r="B66" s="658">
        <f t="shared" si="0"/>
        <v>19.049999999999997</v>
      </c>
      <c r="C66" s="676">
        <f t="shared" si="0"/>
        <v>28.574999999999999</v>
      </c>
      <c r="D66" s="630"/>
      <c r="E66" s="630"/>
      <c r="F66" s="659">
        <f>F15*25.4</f>
        <v>88.899999999999991</v>
      </c>
      <c r="G66" s="660">
        <f>G15*25.4</f>
        <v>88.899999999999991</v>
      </c>
      <c r="H66" s="678">
        <f>H15*25.4</f>
        <v>95.25</v>
      </c>
      <c r="I66" s="630"/>
      <c r="J66" s="631"/>
      <c r="K66" s="659">
        <f>K15*25.4</f>
        <v>254</v>
      </c>
      <c r="L66" s="660">
        <f>L15*25.4</f>
        <v>254</v>
      </c>
      <c r="M66" s="678">
        <f>M15*25.4</f>
        <v>215.89999999999998</v>
      </c>
      <c r="N66" s="630"/>
      <c r="O66" s="631"/>
      <c r="P66" s="659">
        <f>P15*25.4</f>
        <v>508</v>
      </c>
      <c r="Q66" s="660">
        <f>Q15*25.4</f>
        <v>508</v>
      </c>
      <c r="R66" s="678">
        <f>R15*25.4</f>
        <v>381</v>
      </c>
      <c r="S66" s="681"/>
      <c r="T66" s="631"/>
    </row>
    <row r="67" spans="1:20" ht="13.5" thickBot="1" x14ac:dyDescent="0.25">
      <c r="A67" s="661">
        <f t="shared" si="0"/>
        <v>19.049999999999997</v>
      </c>
      <c r="B67" s="662">
        <f t="shared" si="0"/>
        <v>12.7</v>
      </c>
      <c r="C67" s="677">
        <f t="shared" si="0"/>
        <v>28.574999999999999</v>
      </c>
      <c r="D67" s="689">
        <f>D16*25.4</f>
        <v>28.574999999999999</v>
      </c>
      <c r="E67" s="709">
        <f>E16*25.4</f>
        <v>38.099999999999994</v>
      </c>
      <c r="F67" s="663" t="s">
        <v>1896</v>
      </c>
      <c r="G67" s="664">
        <f t="shared" ref="G67:J69" si="1">G16*25.4</f>
        <v>76.199999999999989</v>
      </c>
      <c r="H67" s="679">
        <f t="shared" si="1"/>
        <v>95.25</v>
      </c>
      <c r="I67" s="691">
        <f t="shared" si="1"/>
        <v>92.074999999999989</v>
      </c>
      <c r="J67" s="711">
        <f t="shared" si="1"/>
        <v>101.6</v>
      </c>
      <c r="K67" s="638" t="s">
        <v>1896</v>
      </c>
      <c r="L67" s="664">
        <f t="shared" ref="L67:O70" si="2">L16*25.4</f>
        <v>203.2</v>
      </c>
      <c r="M67" s="679">
        <f t="shared" si="2"/>
        <v>215.89999999999998</v>
      </c>
      <c r="N67" s="691">
        <f t="shared" si="2"/>
        <v>203.2</v>
      </c>
      <c r="O67" s="711">
        <f t="shared" si="2"/>
        <v>177.79999999999998</v>
      </c>
      <c r="P67" s="638" t="s">
        <v>1896</v>
      </c>
      <c r="Q67" s="664">
        <f t="shared" ref="Q67:T72" si="3">Q16*25.4</f>
        <v>457.2</v>
      </c>
      <c r="R67" s="679">
        <f t="shared" si="3"/>
        <v>381</v>
      </c>
      <c r="S67" s="691">
        <f t="shared" si="3"/>
        <v>368.29999999999995</v>
      </c>
      <c r="T67" s="712">
        <f t="shared" si="3"/>
        <v>508</v>
      </c>
    </row>
    <row r="68" spans="1:20" ht="13.5" thickTop="1" x14ac:dyDescent="0.2">
      <c r="A68" s="665">
        <f t="shared" si="0"/>
        <v>25.4</v>
      </c>
      <c r="B68" s="660">
        <f t="shared" si="0"/>
        <v>25.4</v>
      </c>
      <c r="C68" s="678">
        <f t="shared" si="0"/>
        <v>38.099999999999994</v>
      </c>
      <c r="D68" s="690"/>
      <c r="E68" s="710"/>
      <c r="F68" s="638" t="s">
        <v>1896</v>
      </c>
      <c r="G68" s="664">
        <f t="shared" si="1"/>
        <v>63.5</v>
      </c>
      <c r="H68" s="679">
        <f t="shared" si="1"/>
        <v>95.25</v>
      </c>
      <c r="I68" s="691">
        <f t="shared" si="1"/>
        <v>88.899999999999991</v>
      </c>
      <c r="J68" s="711">
        <f t="shared" si="1"/>
        <v>101.6</v>
      </c>
      <c r="K68" s="638" t="s">
        <v>1896</v>
      </c>
      <c r="L68" s="664">
        <f t="shared" si="2"/>
        <v>152.39999999999998</v>
      </c>
      <c r="M68" s="679">
        <f t="shared" si="2"/>
        <v>215.89999999999998</v>
      </c>
      <c r="N68" s="691">
        <f t="shared" si="2"/>
        <v>193.67499999999998</v>
      </c>
      <c r="O68" s="711">
        <f t="shared" si="2"/>
        <v>177.79999999999998</v>
      </c>
      <c r="P68" s="638" t="s">
        <v>1896</v>
      </c>
      <c r="Q68" s="664">
        <f t="shared" si="3"/>
        <v>406.4</v>
      </c>
      <c r="R68" s="679">
        <f t="shared" si="3"/>
        <v>381</v>
      </c>
      <c r="S68" s="691">
        <f t="shared" si="3"/>
        <v>355.59999999999997</v>
      </c>
      <c r="T68" s="712">
        <f t="shared" si="3"/>
        <v>508</v>
      </c>
    </row>
    <row r="69" spans="1:20" x14ac:dyDescent="0.2">
      <c r="A69" s="666">
        <f t="shared" si="0"/>
        <v>25.4</v>
      </c>
      <c r="B69" s="664">
        <f t="shared" si="0"/>
        <v>19.049999999999997</v>
      </c>
      <c r="C69" s="679">
        <f t="shared" si="0"/>
        <v>38.099999999999994</v>
      </c>
      <c r="D69" s="691">
        <f>D18*25.4</f>
        <v>38.099999999999994</v>
      </c>
      <c r="E69" s="711">
        <f>E18*25.4</f>
        <v>50.8</v>
      </c>
      <c r="F69" s="638" t="s">
        <v>1896</v>
      </c>
      <c r="G69" s="664">
        <f t="shared" si="1"/>
        <v>50.8</v>
      </c>
      <c r="H69" s="679">
        <f t="shared" si="1"/>
        <v>95.25</v>
      </c>
      <c r="I69" s="691">
        <f t="shared" si="1"/>
        <v>82.55</v>
      </c>
      <c r="J69" s="711">
        <f t="shared" si="1"/>
        <v>101.6</v>
      </c>
      <c r="K69" s="638" t="s">
        <v>1896</v>
      </c>
      <c r="L69" s="664">
        <f t="shared" si="2"/>
        <v>127</v>
      </c>
      <c r="M69" s="679">
        <f t="shared" si="2"/>
        <v>215.89999999999998</v>
      </c>
      <c r="N69" s="691">
        <f t="shared" si="2"/>
        <v>190.5</v>
      </c>
      <c r="O69" s="711">
        <f t="shared" si="2"/>
        <v>177.79999999999998</v>
      </c>
      <c r="P69" s="638" t="s">
        <v>1896</v>
      </c>
      <c r="Q69" s="664">
        <f t="shared" si="3"/>
        <v>355.59999999999997</v>
      </c>
      <c r="R69" s="679">
        <f t="shared" si="3"/>
        <v>381</v>
      </c>
      <c r="S69" s="691">
        <f t="shared" si="3"/>
        <v>355.59999999999997</v>
      </c>
      <c r="T69" s="712">
        <f t="shared" si="3"/>
        <v>508</v>
      </c>
    </row>
    <row r="70" spans="1:20" ht="13.5" thickBot="1" x14ac:dyDescent="0.25">
      <c r="A70" s="667">
        <f t="shared" si="0"/>
        <v>25.4</v>
      </c>
      <c r="B70" s="662">
        <f t="shared" si="0"/>
        <v>12.7</v>
      </c>
      <c r="C70" s="677">
        <f t="shared" si="0"/>
        <v>38.099999999999994</v>
      </c>
      <c r="D70" s="689">
        <f>D19*25.4</f>
        <v>38.099999999999994</v>
      </c>
      <c r="E70" s="709">
        <f>E19*25.4</f>
        <v>50.8</v>
      </c>
      <c r="F70" s="668">
        <f t="shared" ref="F70:K70" si="4">F19*25.4</f>
        <v>88.899999999999991</v>
      </c>
      <c r="G70" s="662">
        <f t="shared" si="4"/>
        <v>38.099999999999994</v>
      </c>
      <c r="H70" s="677">
        <f t="shared" si="4"/>
        <v>95.25</v>
      </c>
      <c r="I70" s="689">
        <f t="shared" si="4"/>
        <v>79.375</v>
      </c>
      <c r="J70" s="709">
        <f t="shared" si="4"/>
        <v>101.6</v>
      </c>
      <c r="K70" s="668">
        <f t="shared" si="4"/>
        <v>254</v>
      </c>
      <c r="L70" s="662">
        <f t="shared" si="2"/>
        <v>101.6</v>
      </c>
      <c r="M70" s="677">
        <f t="shared" si="2"/>
        <v>215.89999999999998</v>
      </c>
      <c r="N70" s="689">
        <f t="shared" si="2"/>
        <v>184.14999999999998</v>
      </c>
      <c r="O70" s="709">
        <f t="shared" si="2"/>
        <v>177.79999999999998</v>
      </c>
      <c r="P70" s="638" t="s">
        <v>1896</v>
      </c>
      <c r="Q70" s="664">
        <f t="shared" si="3"/>
        <v>304.79999999999995</v>
      </c>
      <c r="R70" s="679">
        <f t="shared" si="3"/>
        <v>381</v>
      </c>
      <c r="S70" s="691">
        <f t="shared" si="3"/>
        <v>346.07499999999999</v>
      </c>
      <c r="T70" s="712">
        <f t="shared" si="3"/>
        <v>508</v>
      </c>
    </row>
    <row r="71" spans="1:20" ht="13.5" thickTop="1" x14ac:dyDescent="0.2">
      <c r="A71" s="665">
        <f t="shared" si="0"/>
        <v>31.75</v>
      </c>
      <c r="B71" s="660">
        <f t="shared" si="0"/>
        <v>31.75</v>
      </c>
      <c r="C71" s="678">
        <f t="shared" si="0"/>
        <v>47.625</v>
      </c>
      <c r="D71" s="681"/>
      <c r="E71" s="701"/>
      <c r="F71" s="659">
        <f>F20*25.4</f>
        <v>101.6</v>
      </c>
      <c r="G71" s="660">
        <f>G20*25.4</f>
        <v>101.6</v>
      </c>
      <c r="H71" s="678">
        <f>H20*25.4</f>
        <v>104.77499999999999</v>
      </c>
      <c r="I71" s="681"/>
      <c r="J71" s="701"/>
      <c r="K71" s="659">
        <f>K20*25.4</f>
        <v>304.79999999999995</v>
      </c>
      <c r="L71" s="660">
        <f>L20*25.4</f>
        <v>304.79999999999995</v>
      </c>
      <c r="M71" s="678">
        <f>M20*25.4</f>
        <v>254</v>
      </c>
      <c r="N71" s="681"/>
      <c r="O71" s="701"/>
      <c r="P71" s="638" t="s">
        <v>1896</v>
      </c>
      <c r="Q71" s="664">
        <f t="shared" si="3"/>
        <v>254</v>
      </c>
      <c r="R71" s="679">
        <f t="shared" si="3"/>
        <v>381</v>
      </c>
      <c r="S71" s="691">
        <f t="shared" si="3"/>
        <v>333.375</v>
      </c>
      <c r="T71" s="712">
        <f t="shared" si="3"/>
        <v>508</v>
      </c>
    </row>
    <row r="72" spans="1:20" ht="13.5" thickBot="1" x14ac:dyDescent="0.25">
      <c r="A72" s="638" t="s">
        <v>1896</v>
      </c>
      <c r="B72" s="664">
        <f t="shared" ref="B72:E74" si="5">B21*25.4</f>
        <v>25.4</v>
      </c>
      <c r="C72" s="679">
        <f t="shared" si="5"/>
        <v>47.625</v>
      </c>
      <c r="D72" s="691">
        <f t="shared" si="5"/>
        <v>47.625</v>
      </c>
      <c r="E72" s="711">
        <f t="shared" si="5"/>
        <v>50.8</v>
      </c>
      <c r="F72" s="638" t="s">
        <v>1896</v>
      </c>
      <c r="G72" s="664">
        <f t="shared" ref="G72:J75" si="6">G21*25.4</f>
        <v>88.899999999999991</v>
      </c>
      <c r="H72" s="679">
        <f t="shared" si="6"/>
        <v>104.77499999999999</v>
      </c>
      <c r="I72" s="691">
        <f t="shared" si="6"/>
        <v>101.6</v>
      </c>
      <c r="J72" s="711">
        <f t="shared" si="6"/>
        <v>101.6</v>
      </c>
      <c r="K72" s="638" t="s">
        <v>1896</v>
      </c>
      <c r="L72" s="664">
        <f t="shared" ref="L72:O74" si="7">L21*25.4</f>
        <v>254</v>
      </c>
      <c r="M72" s="679">
        <f t="shared" si="7"/>
        <v>254</v>
      </c>
      <c r="N72" s="691">
        <f t="shared" si="7"/>
        <v>241.29999999999998</v>
      </c>
      <c r="O72" s="711">
        <f t="shared" si="7"/>
        <v>203.2</v>
      </c>
      <c r="P72" s="668">
        <f>P21*25.4</f>
        <v>508</v>
      </c>
      <c r="Q72" s="662">
        <f t="shared" si="3"/>
        <v>203.2</v>
      </c>
      <c r="R72" s="677">
        <f t="shared" si="3"/>
        <v>381</v>
      </c>
      <c r="S72" s="689">
        <f t="shared" si="3"/>
        <v>323.84999999999997</v>
      </c>
      <c r="T72" s="713">
        <f t="shared" si="3"/>
        <v>508</v>
      </c>
    </row>
    <row r="73" spans="1:20" ht="13.5" thickTop="1" x14ac:dyDescent="0.2">
      <c r="A73" s="638" t="s">
        <v>1896</v>
      </c>
      <c r="B73" s="664">
        <f t="shared" si="5"/>
        <v>19.049999999999997</v>
      </c>
      <c r="C73" s="679">
        <f t="shared" si="5"/>
        <v>47.625</v>
      </c>
      <c r="D73" s="691">
        <f t="shared" si="5"/>
        <v>47.625</v>
      </c>
      <c r="E73" s="711">
        <f t="shared" si="5"/>
        <v>50.8</v>
      </c>
      <c r="F73" s="638" t="s">
        <v>1896</v>
      </c>
      <c r="G73" s="664">
        <f t="shared" si="6"/>
        <v>76.199999999999989</v>
      </c>
      <c r="H73" s="679">
        <f t="shared" si="6"/>
        <v>104.77499999999999</v>
      </c>
      <c r="I73" s="691">
        <f t="shared" si="6"/>
        <v>98.424999999999997</v>
      </c>
      <c r="J73" s="711">
        <f t="shared" si="6"/>
        <v>101.6</v>
      </c>
      <c r="K73" s="638" t="s">
        <v>1896</v>
      </c>
      <c r="L73" s="664">
        <f t="shared" si="7"/>
        <v>203.2</v>
      </c>
      <c r="M73" s="679">
        <f t="shared" si="7"/>
        <v>254</v>
      </c>
      <c r="N73" s="691">
        <f t="shared" si="7"/>
        <v>228.6</v>
      </c>
      <c r="O73" s="711">
        <f t="shared" si="7"/>
        <v>203.2</v>
      </c>
      <c r="P73" s="659">
        <f>P22*25.4</f>
        <v>609.59999999999991</v>
      </c>
      <c r="Q73" s="660">
        <f>Q22*25.4</f>
        <v>609.59999999999991</v>
      </c>
      <c r="R73" s="678">
        <f>R22*25.4</f>
        <v>431.79999999999995</v>
      </c>
      <c r="S73" s="681"/>
      <c r="T73" s="701"/>
    </row>
    <row r="74" spans="1:20" ht="13.5" thickBot="1" x14ac:dyDescent="0.25">
      <c r="A74" s="667">
        <f>A23*25.4</f>
        <v>31.75</v>
      </c>
      <c r="B74" s="662">
        <f t="shared" si="5"/>
        <v>12.7</v>
      </c>
      <c r="C74" s="677">
        <f t="shared" si="5"/>
        <v>47.625</v>
      </c>
      <c r="D74" s="689">
        <f t="shared" si="5"/>
        <v>47.625</v>
      </c>
      <c r="E74" s="709">
        <f t="shared" si="5"/>
        <v>50.8</v>
      </c>
      <c r="F74" s="638" t="s">
        <v>1896</v>
      </c>
      <c r="G74" s="664">
        <f t="shared" si="6"/>
        <v>63.5</v>
      </c>
      <c r="H74" s="679">
        <f t="shared" si="6"/>
        <v>104.77499999999999</v>
      </c>
      <c r="I74" s="691">
        <f t="shared" si="6"/>
        <v>95.25</v>
      </c>
      <c r="J74" s="711">
        <f t="shared" si="6"/>
        <v>101.6</v>
      </c>
      <c r="K74" s="638" t="s">
        <v>1896</v>
      </c>
      <c r="L74" s="664">
        <f t="shared" si="7"/>
        <v>152.39999999999998</v>
      </c>
      <c r="M74" s="679">
        <f t="shared" si="7"/>
        <v>254</v>
      </c>
      <c r="N74" s="691">
        <f t="shared" si="7"/>
        <v>219.07499999999999</v>
      </c>
      <c r="O74" s="711">
        <f t="shared" si="7"/>
        <v>203.2</v>
      </c>
      <c r="P74" s="638" t="s">
        <v>1896</v>
      </c>
      <c r="Q74" s="664">
        <f t="shared" ref="Q74:T79" si="8">Q23*25.4</f>
        <v>508</v>
      </c>
      <c r="R74" s="679">
        <f t="shared" si="8"/>
        <v>431.79999999999995</v>
      </c>
      <c r="S74" s="691">
        <f t="shared" si="8"/>
        <v>431.79999999999995</v>
      </c>
      <c r="T74" s="712">
        <f t="shared" si="8"/>
        <v>508</v>
      </c>
    </row>
    <row r="75" spans="1:20" ht="14.25" thickTop="1" thickBot="1" x14ac:dyDescent="0.25">
      <c r="A75" s="659">
        <f>A24*25.4</f>
        <v>38.099999999999994</v>
      </c>
      <c r="B75" s="660">
        <f>B24*25.4</f>
        <v>38.099999999999994</v>
      </c>
      <c r="C75" s="678">
        <f>C24*25.4</f>
        <v>57.15</v>
      </c>
      <c r="D75" s="684"/>
      <c r="E75" s="701"/>
      <c r="F75" s="638" t="s">
        <v>1896</v>
      </c>
      <c r="G75" s="664">
        <f t="shared" si="6"/>
        <v>50.8</v>
      </c>
      <c r="H75" s="679">
        <f t="shared" si="6"/>
        <v>104.77499999999999</v>
      </c>
      <c r="I75" s="691">
        <f t="shared" si="6"/>
        <v>88.899999999999991</v>
      </c>
      <c r="J75" s="711">
        <f t="shared" si="6"/>
        <v>101.6</v>
      </c>
      <c r="K75" s="668">
        <f>K24*25.4</f>
        <v>304.79999999999995</v>
      </c>
      <c r="L75" s="662">
        <f>L24*25.4</f>
        <v>127</v>
      </c>
      <c r="M75" s="677">
        <f>M24*25.4</f>
        <v>254</v>
      </c>
      <c r="N75" s="689">
        <f>N24*25.4</f>
        <v>215.89999999999998</v>
      </c>
      <c r="O75" s="709">
        <f>O24*25.4</f>
        <v>203.2</v>
      </c>
      <c r="P75" s="638" t="s">
        <v>1896</v>
      </c>
      <c r="Q75" s="664">
        <f t="shared" si="8"/>
        <v>457.2</v>
      </c>
      <c r="R75" s="679">
        <f t="shared" si="8"/>
        <v>431.79999999999995</v>
      </c>
      <c r="S75" s="691">
        <f t="shared" si="8"/>
        <v>419.09999999999997</v>
      </c>
      <c r="T75" s="712">
        <f t="shared" si="8"/>
        <v>508</v>
      </c>
    </row>
    <row r="76" spans="1:20" ht="14.25" thickTop="1" thickBot="1" x14ac:dyDescent="0.25">
      <c r="A76" s="638" t="s">
        <v>1896</v>
      </c>
      <c r="B76" s="664">
        <f t="shared" ref="B76:E78" si="9">B25*25.4</f>
        <v>31.75</v>
      </c>
      <c r="C76" s="679">
        <f t="shared" si="9"/>
        <v>57.15</v>
      </c>
      <c r="D76" s="691">
        <f t="shared" si="9"/>
        <v>57.15</v>
      </c>
      <c r="E76" s="711">
        <f t="shared" si="9"/>
        <v>63.5</v>
      </c>
      <c r="F76" s="668">
        <f t="shared" ref="F76:M76" si="10">F25*25.4</f>
        <v>101.6</v>
      </c>
      <c r="G76" s="662">
        <f t="shared" si="10"/>
        <v>38.099999999999994</v>
      </c>
      <c r="H76" s="677">
        <f t="shared" si="10"/>
        <v>104.77499999999999</v>
      </c>
      <c r="I76" s="689">
        <f t="shared" si="10"/>
        <v>85.724999999999994</v>
      </c>
      <c r="J76" s="709">
        <f t="shared" si="10"/>
        <v>101.6</v>
      </c>
      <c r="K76" s="659">
        <f t="shared" si="10"/>
        <v>355.59999999999997</v>
      </c>
      <c r="L76" s="660">
        <f t="shared" si="10"/>
        <v>355.59999999999997</v>
      </c>
      <c r="M76" s="678">
        <f t="shared" si="10"/>
        <v>279.39999999999998</v>
      </c>
      <c r="N76" s="681"/>
      <c r="O76" s="701"/>
      <c r="P76" s="638" t="s">
        <v>1896</v>
      </c>
      <c r="Q76" s="664">
        <f t="shared" si="8"/>
        <v>406.4</v>
      </c>
      <c r="R76" s="679">
        <f t="shared" si="8"/>
        <v>431.79999999999995</v>
      </c>
      <c r="S76" s="691">
        <f t="shared" si="8"/>
        <v>406.4</v>
      </c>
      <c r="T76" s="712">
        <f t="shared" si="8"/>
        <v>508</v>
      </c>
    </row>
    <row r="77" spans="1:20" ht="13.5" thickTop="1" x14ac:dyDescent="0.2">
      <c r="A77" s="638" t="s">
        <v>1896</v>
      </c>
      <c r="B77" s="664">
        <f t="shared" si="9"/>
        <v>25.4</v>
      </c>
      <c r="C77" s="679">
        <f t="shared" si="9"/>
        <v>57.15</v>
      </c>
      <c r="D77" s="691">
        <f t="shared" si="9"/>
        <v>57.15</v>
      </c>
      <c r="E77" s="711">
        <f t="shared" si="9"/>
        <v>63.5</v>
      </c>
      <c r="F77" s="659">
        <f>F26*25.4</f>
        <v>127</v>
      </c>
      <c r="G77" s="660">
        <f>G26*25.4</f>
        <v>127</v>
      </c>
      <c r="H77" s="678">
        <f>H26*25.4</f>
        <v>123.82499999999999</v>
      </c>
      <c r="I77" s="681"/>
      <c r="J77" s="701"/>
      <c r="K77" s="638" t="s">
        <v>1896</v>
      </c>
      <c r="L77" s="664">
        <f t="shared" ref="L77:O79" si="11">L26*25.4</f>
        <v>304.79999999999995</v>
      </c>
      <c r="M77" s="679">
        <f t="shared" si="11"/>
        <v>279.39999999999998</v>
      </c>
      <c r="N77" s="691">
        <f t="shared" si="11"/>
        <v>269.875</v>
      </c>
      <c r="O77" s="711">
        <f t="shared" si="11"/>
        <v>330.2</v>
      </c>
      <c r="P77" s="638" t="s">
        <v>1896</v>
      </c>
      <c r="Q77" s="664">
        <f t="shared" si="8"/>
        <v>355.59999999999997</v>
      </c>
      <c r="R77" s="679">
        <f t="shared" si="8"/>
        <v>431.79999999999995</v>
      </c>
      <c r="S77" s="691">
        <f t="shared" si="8"/>
        <v>406.4</v>
      </c>
      <c r="T77" s="712">
        <f t="shared" si="8"/>
        <v>508</v>
      </c>
    </row>
    <row r="78" spans="1:20" x14ac:dyDescent="0.2">
      <c r="A78" s="638" t="s">
        <v>1896</v>
      </c>
      <c r="B78" s="664">
        <f t="shared" si="9"/>
        <v>19.049999999999997</v>
      </c>
      <c r="C78" s="679">
        <f t="shared" si="9"/>
        <v>57.15</v>
      </c>
      <c r="D78" s="691">
        <f t="shared" si="9"/>
        <v>57.15</v>
      </c>
      <c r="E78" s="711">
        <f t="shared" si="9"/>
        <v>63.5</v>
      </c>
      <c r="F78" s="647" t="s">
        <v>1896</v>
      </c>
      <c r="G78" s="664">
        <f t="shared" ref="G78:J81" si="12">G27*25.4</f>
        <v>101.6</v>
      </c>
      <c r="H78" s="679">
        <f t="shared" si="12"/>
        <v>123.82499999999999</v>
      </c>
      <c r="I78" s="691">
        <f t="shared" si="12"/>
        <v>117.47499999999999</v>
      </c>
      <c r="J78" s="711">
        <f t="shared" si="12"/>
        <v>127</v>
      </c>
      <c r="K78" s="638" t="s">
        <v>1896</v>
      </c>
      <c r="L78" s="664">
        <f t="shared" si="11"/>
        <v>254</v>
      </c>
      <c r="M78" s="679">
        <f t="shared" si="11"/>
        <v>279.39999999999998</v>
      </c>
      <c r="N78" s="691">
        <f t="shared" si="11"/>
        <v>257.17500000000001</v>
      </c>
      <c r="O78" s="711">
        <f t="shared" si="11"/>
        <v>330.2</v>
      </c>
      <c r="P78" s="638" t="s">
        <v>1896</v>
      </c>
      <c r="Q78" s="664">
        <f t="shared" si="8"/>
        <v>304.79999999999995</v>
      </c>
      <c r="R78" s="679">
        <f t="shared" si="8"/>
        <v>431.79999999999995</v>
      </c>
      <c r="S78" s="691">
        <f t="shared" si="8"/>
        <v>396.875</v>
      </c>
      <c r="T78" s="712">
        <f t="shared" si="8"/>
        <v>508</v>
      </c>
    </row>
    <row r="79" spans="1:20" ht="13.5" thickBot="1" x14ac:dyDescent="0.25">
      <c r="A79" s="667">
        <f>A28*25.4</f>
        <v>38.099999999999994</v>
      </c>
      <c r="B79" s="662">
        <f>B28*25.4</f>
        <v>12.7</v>
      </c>
      <c r="C79" s="677">
        <f>C28*25.4</f>
        <v>57.15</v>
      </c>
      <c r="D79" s="689">
        <f>D28*25.4</f>
        <v>57.15</v>
      </c>
      <c r="E79" s="709">
        <f>E28*25.4</f>
        <v>63.5</v>
      </c>
      <c r="F79" s="638" t="s">
        <v>1896</v>
      </c>
      <c r="G79" s="664">
        <f t="shared" si="12"/>
        <v>88.899999999999991</v>
      </c>
      <c r="H79" s="679">
        <f t="shared" si="12"/>
        <v>123.82499999999999</v>
      </c>
      <c r="I79" s="691">
        <f t="shared" si="12"/>
        <v>114.3</v>
      </c>
      <c r="J79" s="711">
        <f t="shared" si="12"/>
        <v>127</v>
      </c>
      <c r="K79" s="638" t="s">
        <v>1896</v>
      </c>
      <c r="L79" s="664">
        <f t="shared" si="11"/>
        <v>203.2</v>
      </c>
      <c r="M79" s="679">
        <f t="shared" si="11"/>
        <v>279.39999999999998</v>
      </c>
      <c r="N79" s="691">
        <f t="shared" si="11"/>
        <v>247.64999999999998</v>
      </c>
      <c r="O79" s="711">
        <f t="shared" si="11"/>
        <v>330.2</v>
      </c>
      <c r="P79" s="668">
        <f>P28*25.4</f>
        <v>609.59999999999991</v>
      </c>
      <c r="Q79" s="662">
        <f t="shared" si="8"/>
        <v>254</v>
      </c>
      <c r="R79" s="677">
        <f t="shared" si="8"/>
        <v>431.79999999999995</v>
      </c>
      <c r="S79" s="689">
        <f t="shared" si="8"/>
        <v>384.17499999999995</v>
      </c>
      <c r="T79" s="713">
        <f t="shared" si="8"/>
        <v>508</v>
      </c>
    </row>
    <row r="80" spans="1:20" ht="14.25" thickTop="1" thickBot="1" x14ac:dyDescent="0.25">
      <c r="A80" s="659">
        <f>A29*25.4</f>
        <v>50.8</v>
      </c>
      <c r="B80" s="660">
        <f>B29*25.4</f>
        <v>50.8</v>
      </c>
      <c r="C80" s="678">
        <f>C29*25.4</f>
        <v>63.5</v>
      </c>
      <c r="D80" s="681"/>
      <c r="E80" s="701"/>
      <c r="F80" s="647" t="s">
        <v>1896</v>
      </c>
      <c r="G80" s="664">
        <f t="shared" si="12"/>
        <v>76.199999999999989</v>
      </c>
      <c r="H80" s="679">
        <f t="shared" si="12"/>
        <v>123.82499999999999</v>
      </c>
      <c r="I80" s="691">
        <f t="shared" si="12"/>
        <v>111.125</v>
      </c>
      <c r="J80" s="711">
        <f t="shared" si="12"/>
        <v>127</v>
      </c>
      <c r="K80" s="668">
        <f>K29*25.4</f>
        <v>355.59999999999997</v>
      </c>
      <c r="L80" s="662">
        <f>L29*25.4</f>
        <v>152.39999999999998</v>
      </c>
      <c r="M80" s="677">
        <f>M29*25.4</f>
        <v>279.39999999999998</v>
      </c>
      <c r="N80" s="689">
        <f>N29*25.4</f>
        <v>238.125</v>
      </c>
      <c r="O80" s="709">
        <f>O29*25.4</f>
        <v>330.2</v>
      </c>
      <c r="P80" s="659">
        <f>P29*25.4</f>
        <v>762</v>
      </c>
      <c r="Q80" s="660">
        <f>Q29*25.4</f>
        <v>762</v>
      </c>
      <c r="R80" s="678">
        <f>R29*25.4</f>
        <v>558.79999999999995</v>
      </c>
      <c r="S80" s="681"/>
      <c r="T80" s="701"/>
    </row>
    <row r="81" spans="1:20" ht="13.5" thickTop="1" x14ac:dyDescent="0.2">
      <c r="A81" s="638" t="s">
        <v>1896</v>
      </c>
      <c r="B81" s="664">
        <f t="shared" ref="B81:E84" si="13">B30*25.4</f>
        <v>38.099999999999994</v>
      </c>
      <c r="C81" s="679">
        <f t="shared" si="13"/>
        <v>63.5</v>
      </c>
      <c r="D81" s="691">
        <f t="shared" si="13"/>
        <v>60.324999999999996</v>
      </c>
      <c r="E81" s="711">
        <f t="shared" si="13"/>
        <v>76.199999999999989</v>
      </c>
      <c r="F81" s="638" t="s">
        <v>1896</v>
      </c>
      <c r="G81" s="664">
        <f t="shared" si="12"/>
        <v>63.5</v>
      </c>
      <c r="H81" s="679">
        <f t="shared" si="12"/>
        <v>123.82499999999999</v>
      </c>
      <c r="I81" s="691">
        <f t="shared" si="12"/>
        <v>107.94999999999999</v>
      </c>
      <c r="J81" s="711">
        <f t="shared" si="12"/>
        <v>127</v>
      </c>
      <c r="K81" s="659">
        <f>K30*25.4</f>
        <v>406.4</v>
      </c>
      <c r="L81" s="660">
        <f>L30*25.4</f>
        <v>406.4</v>
      </c>
      <c r="M81" s="678">
        <f>M30*25.4</f>
        <v>304.79999999999995</v>
      </c>
      <c r="N81" s="681"/>
      <c r="O81" s="701"/>
      <c r="P81" s="638" t="s">
        <v>1896</v>
      </c>
      <c r="Q81" s="664">
        <f t="shared" ref="Q81:T85" si="14">Q30*25.4</f>
        <v>609.59999999999991</v>
      </c>
      <c r="R81" s="679">
        <f t="shared" si="14"/>
        <v>558.79999999999995</v>
      </c>
      <c r="S81" s="691">
        <f t="shared" si="14"/>
        <v>533.4</v>
      </c>
      <c r="T81" s="712">
        <f t="shared" si="14"/>
        <v>609.59999999999991</v>
      </c>
    </row>
    <row r="82" spans="1:20" ht="13.5" thickBot="1" x14ac:dyDescent="0.25">
      <c r="A82" s="638" t="s">
        <v>1896</v>
      </c>
      <c r="B82" s="664">
        <f t="shared" si="13"/>
        <v>31.75</v>
      </c>
      <c r="C82" s="679">
        <f t="shared" si="13"/>
        <v>63.5</v>
      </c>
      <c r="D82" s="691">
        <f t="shared" si="13"/>
        <v>57.15</v>
      </c>
      <c r="E82" s="711">
        <f t="shared" si="13"/>
        <v>76.199999999999989</v>
      </c>
      <c r="F82" s="668">
        <f>F31*25.4</f>
        <v>127</v>
      </c>
      <c r="G82" s="662">
        <f>G31*25.4</f>
        <v>50.8</v>
      </c>
      <c r="H82" s="677">
        <f>H31*25.4</f>
        <v>123.82499999999999</v>
      </c>
      <c r="I82" s="689">
        <f>I31*25.4</f>
        <v>104.77499999999999</v>
      </c>
      <c r="J82" s="709">
        <f>J31*25.4</f>
        <v>127</v>
      </c>
      <c r="K82" s="638" t="s">
        <v>1896</v>
      </c>
      <c r="L82" s="664">
        <f t="shared" ref="L82:O85" si="15">L31*25.4</f>
        <v>355.59999999999997</v>
      </c>
      <c r="M82" s="679">
        <f t="shared" si="15"/>
        <v>304.79999999999995</v>
      </c>
      <c r="N82" s="691">
        <f t="shared" si="15"/>
        <v>304.79999999999995</v>
      </c>
      <c r="O82" s="711">
        <f t="shared" si="15"/>
        <v>355.59999999999997</v>
      </c>
      <c r="P82" s="638" t="s">
        <v>1896</v>
      </c>
      <c r="Q82" s="664">
        <f t="shared" si="14"/>
        <v>508</v>
      </c>
      <c r="R82" s="679">
        <f t="shared" si="14"/>
        <v>558.79999999999995</v>
      </c>
      <c r="S82" s="691">
        <f t="shared" si="14"/>
        <v>508</v>
      </c>
      <c r="T82" s="712">
        <f t="shared" si="14"/>
        <v>609.59999999999991</v>
      </c>
    </row>
    <row r="83" spans="1:20" ht="13.5" thickTop="1" x14ac:dyDescent="0.2">
      <c r="A83" s="638" t="s">
        <v>1896</v>
      </c>
      <c r="B83" s="664">
        <f t="shared" si="13"/>
        <v>25.4</v>
      </c>
      <c r="C83" s="679">
        <f t="shared" si="13"/>
        <v>63.5</v>
      </c>
      <c r="D83" s="691">
        <f t="shared" si="13"/>
        <v>50.8</v>
      </c>
      <c r="E83" s="711">
        <f t="shared" si="13"/>
        <v>76.199999999999989</v>
      </c>
      <c r="F83" s="659">
        <f>F32*25.4</f>
        <v>152.39999999999998</v>
      </c>
      <c r="G83" s="660">
        <f>G32*25.4</f>
        <v>152.39999999999998</v>
      </c>
      <c r="H83" s="678">
        <f>H32*25.4</f>
        <v>142.875</v>
      </c>
      <c r="I83" s="681"/>
      <c r="J83" s="701"/>
      <c r="K83" s="638" t="s">
        <v>1896</v>
      </c>
      <c r="L83" s="664">
        <f t="shared" si="15"/>
        <v>304.79999999999995</v>
      </c>
      <c r="M83" s="679">
        <f t="shared" si="15"/>
        <v>304.79999999999995</v>
      </c>
      <c r="N83" s="691">
        <f t="shared" si="15"/>
        <v>295.27499999999998</v>
      </c>
      <c r="O83" s="711">
        <f t="shared" si="15"/>
        <v>355.59999999999997</v>
      </c>
      <c r="P83" s="638" t="s">
        <v>1896</v>
      </c>
      <c r="Q83" s="664">
        <f t="shared" si="14"/>
        <v>457.2</v>
      </c>
      <c r="R83" s="679">
        <f t="shared" si="14"/>
        <v>558.79999999999995</v>
      </c>
      <c r="S83" s="691">
        <f t="shared" si="14"/>
        <v>495.29999999999995</v>
      </c>
      <c r="T83" s="712">
        <f t="shared" si="14"/>
        <v>609.59999999999991</v>
      </c>
    </row>
    <row r="84" spans="1:20" ht="13.5" thickBot="1" x14ac:dyDescent="0.25">
      <c r="A84" s="667">
        <f>A33*25.4</f>
        <v>50.8</v>
      </c>
      <c r="B84" s="662">
        <f t="shared" si="13"/>
        <v>19.049999999999997</v>
      </c>
      <c r="C84" s="677">
        <f t="shared" si="13"/>
        <v>63.5</v>
      </c>
      <c r="D84" s="689">
        <f t="shared" si="13"/>
        <v>44.449999999999996</v>
      </c>
      <c r="E84" s="709">
        <f t="shared" si="13"/>
        <v>76.199999999999989</v>
      </c>
      <c r="F84" s="638" t="s">
        <v>1896</v>
      </c>
      <c r="G84" s="664">
        <f t="shared" ref="G84:J87" si="16">G33*25.4</f>
        <v>127</v>
      </c>
      <c r="H84" s="679">
        <f t="shared" si="16"/>
        <v>142.875</v>
      </c>
      <c r="I84" s="691">
        <f t="shared" si="16"/>
        <v>136.52500000000001</v>
      </c>
      <c r="J84" s="711">
        <f t="shared" si="16"/>
        <v>139.69999999999999</v>
      </c>
      <c r="K84" s="638" t="s">
        <v>1896</v>
      </c>
      <c r="L84" s="664">
        <f t="shared" si="15"/>
        <v>254</v>
      </c>
      <c r="M84" s="679">
        <f t="shared" si="15"/>
        <v>304.79999999999995</v>
      </c>
      <c r="N84" s="691">
        <f t="shared" si="15"/>
        <v>282.57499999999999</v>
      </c>
      <c r="O84" s="711">
        <f t="shared" si="15"/>
        <v>355.59999999999997</v>
      </c>
      <c r="P84" s="638" t="s">
        <v>1896</v>
      </c>
      <c r="Q84" s="664">
        <f t="shared" si="14"/>
        <v>406.4</v>
      </c>
      <c r="R84" s="679">
        <f t="shared" si="14"/>
        <v>558.79999999999995</v>
      </c>
      <c r="S84" s="691">
        <f t="shared" si="14"/>
        <v>482.59999999999997</v>
      </c>
      <c r="T84" s="712">
        <f t="shared" si="14"/>
        <v>609.59999999999991</v>
      </c>
    </row>
    <row r="85" spans="1:20" ht="14.25" thickTop="1" thickBot="1" x14ac:dyDescent="0.25">
      <c r="A85" s="659">
        <f>A34*25.4</f>
        <v>63.5</v>
      </c>
      <c r="B85" s="660">
        <f>B34*25.4</f>
        <v>63.5</v>
      </c>
      <c r="C85" s="678">
        <f>C34*25.4</f>
        <v>76.199999999999989</v>
      </c>
      <c r="D85" s="681"/>
      <c r="E85" s="701"/>
      <c r="F85" s="638" t="s">
        <v>1896</v>
      </c>
      <c r="G85" s="664">
        <f t="shared" si="16"/>
        <v>101.6</v>
      </c>
      <c r="H85" s="679">
        <f t="shared" si="16"/>
        <v>142.875</v>
      </c>
      <c r="I85" s="691">
        <f t="shared" si="16"/>
        <v>130.17499999999998</v>
      </c>
      <c r="J85" s="711">
        <f t="shared" si="16"/>
        <v>139.69999999999999</v>
      </c>
      <c r="K85" s="638" t="s">
        <v>1896</v>
      </c>
      <c r="L85" s="664">
        <f t="shared" si="15"/>
        <v>203.2</v>
      </c>
      <c r="M85" s="679">
        <f t="shared" si="15"/>
        <v>304.79999999999995</v>
      </c>
      <c r="N85" s="691">
        <f t="shared" si="15"/>
        <v>273.05</v>
      </c>
      <c r="O85" s="711">
        <f t="shared" si="15"/>
        <v>355.59999999999997</v>
      </c>
      <c r="P85" s="668">
        <f>P34*25.4</f>
        <v>762</v>
      </c>
      <c r="Q85" s="662">
        <f t="shared" si="14"/>
        <v>355.59999999999997</v>
      </c>
      <c r="R85" s="677">
        <f t="shared" si="14"/>
        <v>558.79999999999995</v>
      </c>
      <c r="S85" s="689">
        <f t="shared" si="14"/>
        <v>482.59999999999997</v>
      </c>
      <c r="T85" s="713">
        <f t="shared" si="14"/>
        <v>609.59999999999991</v>
      </c>
    </row>
    <row r="86" spans="1:20" ht="14.25" thickTop="1" thickBot="1" x14ac:dyDescent="0.25">
      <c r="A86" s="638" t="s">
        <v>1896</v>
      </c>
      <c r="B86" s="664">
        <f t="shared" ref="B86:E88" si="17">B35*25.4</f>
        <v>50.8</v>
      </c>
      <c r="C86" s="679">
        <f t="shared" si="17"/>
        <v>76.199999999999989</v>
      </c>
      <c r="D86" s="691">
        <f t="shared" si="17"/>
        <v>69.849999999999994</v>
      </c>
      <c r="E86" s="711">
        <f t="shared" si="17"/>
        <v>88.899999999999991</v>
      </c>
      <c r="F86" s="638" t="s">
        <v>1896</v>
      </c>
      <c r="G86" s="664">
        <f t="shared" si="16"/>
        <v>88.899999999999991</v>
      </c>
      <c r="H86" s="679">
        <f t="shared" si="16"/>
        <v>142.875</v>
      </c>
      <c r="I86" s="691">
        <f t="shared" si="16"/>
        <v>127</v>
      </c>
      <c r="J86" s="711">
        <f t="shared" si="16"/>
        <v>139.69999999999999</v>
      </c>
      <c r="K86" s="668">
        <f>K35*25.4</f>
        <v>406.4</v>
      </c>
      <c r="L86" s="662">
        <f>L35*25.4</f>
        <v>152.39999999999998</v>
      </c>
      <c r="M86" s="677">
        <f>M35*25.4</f>
        <v>304.79999999999995</v>
      </c>
      <c r="N86" s="689">
        <f>N35*25.4</f>
        <v>263.52499999999998</v>
      </c>
      <c r="O86" s="709">
        <f>O35*25.4</f>
        <v>355.59999999999997</v>
      </c>
      <c r="P86" s="659">
        <f>P35*25.4</f>
        <v>914.4</v>
      </c>
      <c r="Q86" s="660">
        <f>Q35*25.4</f>
        <v>914.4</v>
      </c>
      <c r="R86" s="678">
        <f>R35*25.4</f>
        <v>673.09999999999991</v>
      </c>
      <c r="S86" s="681"/>
      <c r="T86" s="701"/>
    </row>
    <row r="87" spans="1:20" ht="13.5" thickTop="1" x14ac:dyDescent="0.2">
      <c r="A87" s="638" t="s">
        <v>1896</v>
      </c>
      <c r="B87" s="664">
        <f t="shared" si="17"/>
        <v>38.099999999999994</v>
      </c>
      <c r="C87" s="679">
        <f t="shared" si="17"/>
        <v>76.199999999999989</v>
      </c>
      <c r="D87" s="691">
        <f t="shared" si="17"/>
        <v>66.674999999999997</v>
      </c>
      <c r="E87" s="711">
        <f t="shared" si="17"/>
        <v>88.899999999999991</v>
      </c>
      <c r="F87" s="638" t="s">
        <v>1896</v>
      </c>
      <c r="G87" s="664">
        <f t="shared" si="16"/>
        <v>76.199999999999989</v>
      </c>
      <c r="H87" s="679">
        <f t="shared" si="16"/>
        <v>142.875</v>
      </c>
      <c r="I87" s="691">
        <f t="shared" si="16"/>
        <v>123.82499999999999</v>
      </c>
      <c r="J87" s="711">
        <f t="shared" si="16"/>
        <v>139.69999999999999</v>
      </c>
      <c r="K87" s="659">
        <f>K36*25.4</f>
        <v>457.2</v>
      </c>
      <c r="L87" s="660">
        <f>L36*25.4</f>
        <v>457.2</v>
      </c>
      <c r="M87" s="678">
        <f>M36*25.4</f>
        <v>342.9</v>
      </c>
      <c r="N87" s="681"/>
      <c r="O87" s="701"/>
      <c r="P87" s="638" t="s">
        <v>1896</v>
      </c>
      <c r="Q87" s="664">
        <f t="shared" ref="Q87:T91" si="18">Q36*25.4</f>
        <v>762</v>
      </c>
      <c r="R87" s="679">
        <f t="shared" si="18"/>
        <v>673.09999999999991</v>
      </c>
      <c r="S87" s="691">
        <f t="shared" si="18"/>
        <v>635</v>
      </c>
      <c r="T87" s="712">
        <f t="shared" si="18"/>
        <v>609.59999999999991</v>
      </c>
    </row>
    <row r="88" spans="1:20" ht="13.5" thickBot="1" x14ac:dyDescent="0.25">
      <c r="A88" s="638" t="s">
        <v>1896</v>
      </c>
      <c r="B88" s="664">
        <f t="shared" si="17"/>
        <v>31.75</v>
      </c>
      <c r="C88" s="679">
        <f t="shared" si="17"/>
        <v>76.199999999999989</v>
      </c>
      <c r="D88" s="691">
        <f t="shared" si="17"/>
        <v>63.5</v>
      </c>
      <c r="E88" s="711">
        <f t="shared" si="17"/>
        <v>88.899999999999991</v>
      </c>
      <c r="F88" s="668">
        <f>F37*25.4</f>
        <v>152.39999999999998</v>
      </c>
      <c r="G88" s="662">
        <f>G37*25.4</f>
        <v>63.5</v>
      </c>
      <c r="H88" s="677">
        <f>H37*25.4</f>
        <v>142.875</v>
      </c>
      <c r="I88" s="689">
        <f>I37*25.4</f>
        <v>120.64999999999999</v>
      </c>
      <c r="J88" s="709">
        <f>J37*25.4</f>
        <v>139.69999999999999</v>
      </c>
      <c r="K88" s="638" t="s">
        <v>1896</v>
      </c>
      <c r="L88" s="664">
        <f t="shared" ref="L88:O91" si="19">L37*25.4</f>
        <v>406.4</v>
      </c>
      <c r="M88" s="679">
        <f t="shared" si="19"/>
        <v>342.9</v>
      </c>
      <c r="N88" s="691">
        <f t="shared" si="19"/>
        <v>330.2</v>
      </c>
      <c r="O88" s="711">
        <f t="shared" si="19"/>
        <v>381</v>
      </c>
      <c r="P88" s="638" t="s">
        <v>1896</v>
      </c>
      <c r="Q88" s="664">
        <f t="shared" si="18"/>
        <v>609.59999999999991</v>
      </c>
      <c r="R88" s="679">
        <f t="shared" si="18"/>
        <v>673.09999999999991</v>
      </c>
      <c r="S88" s="691">
        <f t="shared" si="18"/>
        <v>609.59999999999991</v>
      </c>
      <c r="T88" s="712">
        <f t="shared" si="18"/>
        <v>609.59999999999991</v>
      </c>
    </row>
    <row r="89" spans="1:20" ht="14.25" thickTop="1" thickBot="1" x14ac:dyDescent="0.25">
      <c r="A89" s="667">
        <f t="shared" ref="A89:H89" si="20">A38*25.4</f>
        <v>63.5</v>
      </c>
      <c r="B89" s="662">
        <f t="shared" si="20"/>
        <v>25.4</v>
      </c>
      <c r="C89" s="677">
        <f t="shared" si="20"/>
        <v>76.199999999999989</v>
      </c>
      <c r="D89" s="689">
        <f t="shared" si="20"/>
        <v>57.15</v>
      </c>
      <c r="E89" s="709">
        <f t="shared" si="20"/>
        <v>88.899999999999991</v>
      </c>
      <c r="F89" s="659">
        <f t="shared" si="20"/>
        <v>203.2</v>
      </c>
      <c r="G89" s="660">
        <f t="shared" si="20"/>
        <v>203.2</v>
      </c>
      <c r="H89" s="678">
        <f t="shared" si="20"/>
        <v>177.79999999999998</v>
      </c>
      <c r="I89" s="681"/>
      <c r="J89" s="701"/>
      <c r="K89" s="638" t="s">
        <v>1896</v>
      </c>
      <c r="L89" s="664">
        <f t="shared" si="19"/>
        <v>355.59999999999997</v>
      </c>
      <c r="M89" s="679">
        <f t="shared" si="19"/>
        <v>342.9</v>
      </c>
      <c r="N89" s="691">
        <f t="shared" si="19"/>
        <v>330.2</v>
      </c>
      <c r="O89" s="711">
        <f t="shared" si="19"/>
        <v>381</v>
      </c>
      <c r="P89" s="638" t="s">
        <v>1896</v>
      </c>
      <c r="Q89" s="664">
        <f t="shared" si="18"/>
        <v>508</v>
      </c>
      <c r="R89" s="679">
        <f t="shared" si="18"/>
        <v>673.09999999999991</v>
      </c>
      <c r="S89" s="691">
        <f t="shared" si="18"/>
        <v>584.19999999999993</v>
      </c>
      <c r="T89" s="712">
        <f t="shared" si="18"/>
        <v>609.59999999999991</v>
      </c>
    </row>
    <row r="90" spans="1:20" ht="13.5" thickTop="1" x14ac:dyDescent="0.2">
      <c r="A90" s="659">
        <f>A39*25.4</f>
        <v>76.199999999999989</v>
      </c>
      <c r="B90" s="660">
        <f>B39*25.4</f>
        <v>76.199999999999989</v>
      </c>
      <c r="C90" s="678">
        <f>C39*25.4</f>
        <v>85.724999999999994</v>
      </c>
      <c r="D90" s="681"/>
      <c r="E90" s="701"/>
      <c r="F90" s="638" t="s">
        <v>1896</v>
      </c>
      <c r="G90" s="664">
        <f t="shared" ref="G90:J92" si="21">G39*25.4</f>
        <v>152.39999999999998</v>
      </c>
      <c r="H90" s="679">
        <f t="shared" si="21"/>
        <v>177.79999999999998</v>
      </c>
      <c r="I90" s="691">
        <f t="shared" si="21"/>
        <v>168.27499999999998</v>
      </c>
      <c r="J90" s="711">
        <f t="shared" si="21"/>
        <v>152.39999999999998</v>
      </c>
      <c r="K90" s="638" t="s">
        <v>1896</v>
      </c>
      <c r="L90" s="664">
        <f t="shared" si="19"/>
        <v>304.79999999999995</v>
      </c>
      <c r="M90" s="679">
        <f t="shared" si="19"/>
        <v>342.9</v>
      </c>
      <c r="N90" s="691">
        <f t="shared" si="19"/>
        <v>320.67499999999995</v>
      </c>
      <c r="O90" s="711">
        <f t="shared" si="19"/>
        <v>381</v>
      </c>
      <c r="P90" s="638" t="s">
        <v>1896</v>
      </c>
      <c r="Q90" s="664">
        <f t="shared" si="18"/>
        <v>457.2</v>
      </c>
      <c r="R90" s="679">
        <f t="shared" si="18"/>
        <v>673.09999999999991</v>
      </c>
      <c r="S90" s="691">
        <f t="shared" si="18"/>
        <v>571.5</v>
      </c>
      <c r="T90" s="712">
        <f t="shared" si="18"/>
        <v>609.59999999999991</v>
      </c>
    </row>
    <row r="91" spans="1:20" ht="13.5" thickBot="1" x14ac:dyDescent="0.25">
      <c r="A91" s="638" t="s">
        <v>1896</v>
      </c>
      <c r="B91" s="664">
        <f t="shared" ref="B91:E93" si="22">B40*25.4</f>
        <v>63.5</v>
      </c>
      <c r="C91" s="679">
        <f t="shared" si="22"/>
        <v>85.724999999999994</v>
      </c>
      <c r="D91" s="691">
        <f t="shared" si="22"/>
        <v>82.55</v>
      </c>
      <c r="E91" s="711">
        <f t="shared" si="22"/>
        <v>88.899999999999991</v>
      </c>
      <c r="F91" s="638" t="s">
        <v>1896</v>
      </c>
      <c r="G91" s="664">
        <f t="shared" si="21"/>
        <v>127</v>
      </c>
      <c r="H91" s="679">
        <f t="shared" si="21"/>
        <v>177.79999999999998</v>
      </c>
      <c r="I91" s="691">
        <f t="shared" si="21"/>
        <v>161.92499999999998</v>
      </c>
      <c r="J91" s="711">
        <f t="shared" si="21"/>
        <v>152.39999999999998</v>
      </c>
      <c r="K91" s="638" t="s">
        <v>1896</v>
      </c>
      <c r="L91" s="664">
        <f t="shared" si="19"/>
        <v>254</v>
      </c>
      <c r="M91" s="679">
        <f t="shared" si="19"/>
        <v>342.9</v>
      </c>
      <c r="N91" s="691">
        <f t="shared" si="19"/>
        <v>307.97499999999997</v>
      </c>
      <c r="O91" s="711">
        <f t="shared" si="19"/>
        <v>381</v>
      </c>
      <c r="P91" s="668">
        <f>P40*25.4</f>
        <v>914.4</v>
      </c>
      <c r="Q91" s="662">
        <f t="shared" si="18"/>
        <v>406.4</v>
      </c>
      <c r="R91" s="677">
        <f t="shared" si="18"/>
        <v>673.09999999999991</v>
      </c>
      <c r="S91" s="689">
        <f t="shared" si="18"/>
        <v>558.79999999999995</v>
      </c>
      <c r="T91" s="713">
        <f t="shared" si="18"/>
        <v>609.59999999999991</v>
      </c>
    </row>
    <row r="92" spans="1:20" ht="14.25" thickTop="1" thickBot="1" x14ac:dyDescent="0.25">
      <c r="A92" s="638" t="s">
        <v>1896</v>
      </c>
      <c r="B92" s="664">
        <f t="shared" si="22"/>
        <v>50.8</v>
      </c>
      <c r="C92" s="679">
        <f t="shared" si="22"/>
        <v>85.724999999999994</v>
      </c>
      <c r="D92" s="691">
        <f t="shared" si="22"/>
        <v>76.199999999999989</v>
      </c>
      <c r="E92" s="711">
        <f t="shared" si="22"/>
        <v>88.899999999999991</v>
      </c>
      <c r="F92" s="638" t="s">
        <v>1896</v>
      </c>
      <c r="G92" s="664">
        <f t="shared" si="21"/>
        <v>101.6</v>
      </c>
      <c r="H92" s="679">
        <f t="shared" si="21"/>
        <v>177.79999999999998</v>
      </c>
      <c r="I92" s="691">
        <f t="shared" si="21"/>
        <v>155.57499999999999</v>
      </c>
      <c r="J92" s="711">
        <f t="shared" si="21"/>
        <v>152.39999999999998</v>
      </c>
      <c r="K92" s="668">
        <f>K41*25.4</f>
        <v>457.2</v>
      </c>
      <c r="L92" s="662">
        <f>L41*25.4</f>
        <v>203.2</v>
      </c>
      <c r="M92" s="677">
        <f>M41*25.4</f>
        <v>342.9</v>
      </c>
      <c r="N92" s="689">
        <f>N41*25.4</f>
        <v>298.45</v>
      </c>
      <c r="O92" s="709">
        <f>O41*25.4</f>
        <v>381</v>
      </c>
      <c r="P92" s="659">
        <f>P41*25.4</f>
        <v>1066.8</v>
      </c>
      <c r="Q92" s="660">
        <f>Q41*25.4</f>
        <v>1066.8</v>
      </c>
      <c r="R92" s="678">
        <f>R41*25.4</f>
        <v>762</v>
      </c>
      <c r="S92" s="692">
        <f>S41*25.4</f>
        <v>711.19999999999993</v>
      </c>
      <c r="T92" s="701"/>
    </row>
    <row r="93" spans="1:20" ht="14.25" thickTop="1" thickBot="1" x14ac:dyDescent="0.25">
      <c r="A93" s="638" t="s">
        <v>1896</v>
      </c>
      <c r="B93" s="664">
        <f t="shared" si="22"/>
        <v>38.099999999999994</v>
      </c>
      <c r="C93" s="679">
        <f t="shared" si="22"/>
        <v>85.724999999999994</v>
      </c>
      <c r="D93" s="691">
        <f t="shared" si="22"/>
        <v>73.024999999999991</v>
      </c>
      <c r="E93" s="711">
        <f t="shared" si="22"/>
        <v>88.899999999999991</v>
      </c>
      <c r="F93" s="668">
        <f>F42*25.4</f>
        <v>203.2</v>
      </c>
      <c r="G93" s="662">
        <f>G42*25.4</f>
        <v>88.899999999999991</v>
      </c>
      <c r="H93" s="677">
        <f>H42*25.4</f>
        <v>177.79999999999998</v>
      </c>
      <c r="I93" s="689">
        <f>I42*25.4</f>
        <v>152.39999999999998</v>
      </c>
      <c r="J93" s="709">
        <f>J42*25.4</f>
        <v>152.39999999999998</v>
      </c>
      <c r="K93" s="651"/>
      <c r="L93" s="652"/>
      <c r="M93" s="652"/>
      <c r="N93" s="652"/>
      <c r="O93" s="652"/>
      <c r="P93" s="638" t="s">
        <v>1896</v>
      </c>
      <c r="Q93" s="664">
        <f t="shared" ref="Q93:T96" si="23">Q42*25.4</f>
        <v>914.4</v>
      </c>
      <c r="R93" s="679">
        <f t="shared" si="23"/>
        <v>762</v>
      </c>
      <c r="S93" s="691">
        <f t="shared" si="23"/>
        <v>711.19999999999993</v>
      </c>
      <c r="T93" s="712">
        <f t="shared" si="23"/>
        <v>609.59999999999991</v>
      </c>
    </row>
    <row r="94" spans="1:20" ht="14.25" thickTop="1" thickBot="1" x14ac:dyDescent="0.25">
      <c r="A94" s="668">
        <f>A43*25.4</f>
        <v>76.199999999999989</v>
      </c>
      <c r="B94" s="662">
        <f>B43*25.4</f>
        <v>31.75</v>
      </c>
      <c r="C94" s="677">
        <f>C43*25.4</f>
        <v>85.724999999999994</v>
      </c>
      <c r="D94" s="689">
        <f>D43*25.4</f>
        <v>69.849999999999994</v>
      </c>
      <c r="E94" s="709">
        <f>E43*25.4</f>
        <v>88.899999999999991</v>
      </c>
      <c r="F94" s="653"/>
      <c r="G94" s="652"/>
      <c r="H94" s="652"/>
      <c r="I94" s="652"/>
      <c r="J94" s="652"/>
      <c r="K94" s="651"/>
      <c r="L94" s="652"/>
      <c r="M94" s="652"/>
      <c r="N94" s="652"/>
      <c r="O94" s="652"/>
      <c r="P94" s="638" t="s">
        <v>1896</v>
      </c>
      <c r="Q94" s="664">
        <f t="shared" si="23"/>
        <v>762</v>
      </c>
      <c r="R94" s="679">
        <f t="shared" si="23"/>
        <v>762</v>
      </c>
      <c r="S94" s="691">
        <f t="shared" si="23"/>
        <v>711.19999999999993</v>
      </c>
      <c r="T94" s="712">
        <f t="shared" si="23"/>
        <v>609.59999999999991</v>
      </c>
    </row>
    <row r="95" spans="1:20" ht="13.5" thickTop="1" x14ac:dyDescent="0.2">
      <c r="A95" s="654"/>
      <c r="B95" s="654"/>
      <c r="C95" s="654"/>
      <c r="D95" s="654"/>
      <c r="E95" s="654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638" t="s">
        <v>1896</v>
      </c>
      <c r="Q95" s="664">
        <f t="shared" si="23"/>
        <v>609.59999999999991</v>
      </c>
      <c r="R95" s="679">
        <f t="shared" si="23"/>
        <v>762</v>
      </c>
      <c r="S95" s="691">
        <f t="shared" si="23"/>
        <v>660.4</v>
      </c>
      <c r="T95" s="712">
        <f t="shared" si="23"/>
        <v>609.59999999999991</v>
      </c>
    </row>
    <row r="96" spans="1:20" ht="13.5" thickBot="1" x14ac:dyDescent="0.25">
      <c r="A96" s="654"/>
      <c r="B96" s="654"/>
      <c r="C96" s="654"/>
      <c r="D96" s="654"/>
      <c r="E96" s="654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668">
        <f>P45*25.4</f>
        <v>1066.8</v>
      </c>
      <c r="Q96" s="662">
        <f t="shared" si="23"/>
        <v>508</v>
      </c>
      <c r="R96" s="677">
        <f t="shared" si="23"/>
        <v>762</v>
      </c>
      <c r="S96" s="689">
        <f t="shared" si="23"/>
        <v>660.4</v>
      </c>
      <c r="T96" s="713">
        <f t="shared" si="23"/>
        <v>609.59999999999991</v>
      </c>
    </row>
    <row r="97" spans="1:20" ht="13.5" thickTop="1" x14ac:dyDescent="0.2">
      <c r="A97" s="654"/>
      <c r="B97" s="654"/>
      <c r="C97" s="654"/>
      <c r="D97" s="654"/>
      <c r="E97" s="654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659">
        <f>P46*25.4</f>
        <v>1219.1999999999998</v>
      </c>
      <c r="Q97" s="660">
        <f>Q46*25.4</f>
        <v>1219.1999999999998</v>
      </c>
      <c r="R97" s="678">
        <f>R46*25.4</f>
        <v>889</v>
      </c>
      <c r="S97" s="692">
        <f>S46*25.4</f>
        <v>838.19999999999993</v>
      </c>
      <c r="T97" s="701"/>
    </row>
    <row r="98" spans="1:20" x14ac:dyDescent="0.2">
      <c r="A98" s="654"/>
      <c r="B98" s="654"/>
      <c r="C98" s="654"/>
      <c r="D98" s="654"/>
      <c r="E98" s="654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638" t="s">
        <v>1896</v>
      </c>
      <c r="Q98" s="664">
        <f t="shared" ref="Q98:T100" si="24">Q47*25.4</f>
        <v>1066.8</v>
      </c>
      <c r="R98" s="679">
        <f t="shared" si="24"/>
        <v>889</v>
      </c>
      <c r="S98" s="691">
        <f t="shared" si="24"/>
        <v>812.8</v>
      </c>
      <c r="T98" s="712">
        <f t="shared" si="24"/>
        <v>711.19999999999993</v>
      </c>
    </row>
    <row r="99" spans="1:20" x14ac:dyDescent="0.2">
      <c r="A99" s="654"/>
      <c r="B99" s="654"/>
      <c r="C99" s="654"/>
      <c r="D99" s="654"/>
      <c r="E99" s="654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638" t="s">
        <v>1896</v>
      </c>
      <c r="Q99" s="664">
        <f t="shared" si="24"/>
        <v>914.4</v>
      </c>
      <c r="R99" s="679">
        <f t="shared" si="24"/>
        <v>889</v>
      </c>
      <c r="S99" s="691">
        <f t="shared" si="24"/>
        <v>787.4</v>
      </c>
      <c r="T99" s="712">
        <f t="shared" si="24"/>
        <v>711.19999999999993</v>
      </c>
    </row>
    <row r="100" spans="1:20" ht="13.5" thickBot="1" x14ac:dyDescent="0.25">
      <c r="A100" s="654"/>
      <c r="B100" s="654"/>
      <c r="C100" s="654"/>
      <c r="D100" s="654"/>
      <c r="E100" s="654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668">
        <f>P49*25.4</f>
        <v>1219.1999999999998</v>
      </c>
      <c r="Q100" s="662">
        <f t="shared" si="24"/>
        <v>762</v>
      </c>
      <c r="R100" s="677">
        <f t="shared" si="24"/>
        <v>889</v>
      </c>
      <c r="S100" s="689">
        <f t="shared" si="24"/>
        <v>762</v>
      </c>
      <c r="T100" s="713">
        <f t="shared" si="24"/>
        <v>711.19999999999993</v>
      </c>
    </row>
    <row r="101" spans="1:20" ht="13.5" thickTop="1" x14ac:dyDescent="0.2"/>
  </sheetData>
  <sheetProtection password="CDD2" sheet="1" objects="1" scenarios="1"/>
  <pageMargins left="0.75" right="0.75" top="1" bottom="1" header="0.5" footer="0.5"/>
  <pageSetup orientation="portrait" verticalDpi="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1:Q166"/>
  <sheetViews>
    <sheetView showGridLines="0" workbookViewId="0">
      <pane ySplit="11" topLeftCell="A12" activePane="bottomLeft" state="frozen"/>
      <selection pane="bottomLeft"/>
    </sheetView>
  </sheetViews>
  <sheetFormatPr defaultRowHeight="12.75" x14ac:dyDescent="0.2"/>
  <cols>
    <col min="1" max="1" width="7.28515625" customWidth="1"/>
    <col min="2" max="2" width="8.140625" customWidth="1"/>
    <col min="3" max="3" width="7.5703125" customWidth="1"/>
    <col min="5" max="5" width="7.42578125" customWidth="1"/>
    <col min="6" max="6" width="8.42578125" customWidth="1"/>
    <col min="9" max="9" width="2.42578125" customWidth="1"/>
    <col min="10" max="10" width="9.42578125" customWidth="1"/>
    <col min="11" max="11" width="6.7109375" customWidth="1"/>
    <col min="12" max="12" width="8.5703125" customWidth="1"/>
    <col min="13" max="13" width="6.42578125" customWidth="1"/>
    <col min="14" max="14" width="7.42578125" customWidth="1"/>
    <col min="15" max="16" width="7.85546875" customWidth="1"/>
  </cols>
  <sheetData>
    <row r="11" spans="1:17" ht="13.5" thickBot="1" x14ac:dyDescent="0.25"/>
    <row r="12" spans="1:17" ht="14.25" thickTop="1" thickBot="1" x14ac:dyDescent="0.25">
      <c r="A12" s="624"/>
      <c r="B12" s="749"/>
      <c r="C12" s="750"/>
      <c r="D12" s="784" t="s">
        <v>13</v>
      </c>
      <c r="E12" s="750"/>
      <c r="F12" s="750"/>
      <c r="G12" s="750"/>
      <c r="H12" s="751"/>
      <c r="J12" s="624"/>
      <c r="K12" s="749"/>
      <c r="L12" s="750"/>
      <c r="M12" s="784" t="s">
        <v>14</v>
      </c>
      <c r="N12" s="750"/>
      <c r="O12" s="750"/>
      <c r="P12" s="750"/>
      <c r="Q12" s="751"/>
    </row>
    <row r="13" spans="1:17" ht="17.25" thickTop="1" thickBot="1" x14ac:dyDescent="0.3">
      <c r="A13" s="510" t="s">
        <v>1867</v>
      </c>
      <c r="B13" s="624"/>
      <c r="C13" s="624"/>
      <c r="D13" s="749"/>
      <c r="E13" s="752" t="s">
        <v>1919</v>
      </c>
      <c r="F13" s="750"/>
      <c r="G13" s="751"/>
      <c r="H13" s="721" t="s">
        <v>1920</v>
      </c>
      <c r="J13" s="510" t="s">
        <v>1867</v>
      </c>
      <c r="K13" s="624"/>
      <c r="L13" s="624"/>
      <c r="M13" s="749"/>
      <c r="N13" s="752" t="s">
        <v>1919</v>
      </c>
      <c r="O13" s="750"/>
      <c r="P13" s="751"/>
      <c r="Q13" s="721" t="s">
        <v>1920</v>
      </c>
    </row>
    <row r="14" spans="1:17" ht="18.75" thickTop="1" x14ac:dyDescent="0.25">
      <c r="A14" s="510" t="s">
        <v>1556</v>
      </c>
      <c r="B14" s="626" t="s">
        <v>1921</v>
      </c>
      <c r="C14" s="626" t="s">
        <v>1779</v>
      </c>
      <c r="D14" s="721" t="s">
        <v>1922</v>
      </c>
      <c r="E14" s="721" t="s">
        <v>1923</v>
      </c>
      <c r="F14" s="721" t="s">
        <v>1924</v>
      </c>
      <c r="G14" s="721" t="s">
        <v>1101</v>
      </c>
      <c r="H14" s="513" t="s">
        <v>1925</v>
      </c>
      <c r="J14" s="510" t="s">
        <v>1556</v>
      </c>
      <c r="K14" s="626" t="s">
        <v>1921</v>
      </c>
      <c r="L14" s="626" t="s">
        <v>1779</v>
      </c>
      <c r="M14" s="721" t="s">
        <v>1922</v>
      </c>
      <c r="N14" s="721" t="s">
        <v>1923</v>
      </c>
      <c r="O14" s="721" t="s">
        <v>1924</v>
      </c>
      <c r="P14" s="721" t="s">
        <v>1101</v>
      </c>
      <c r="Q14" s="513" t="s">
        <v>1925</v>
      </c>
    </row>
    <row r="15" spans="1:17" ht="13.5" thickBot="1" x14ac:dyDescent="0.25">
      <c r="A15" s="517" t="s">
        <v>894</v>
      </c>
      <c r="B15" s="519" t="s">
        <v>1926</v>
      </c>
      <c r="C15" s="519" t="s">
        <v>1926</v>
      </c>
      <c r="D15" s="718" t="s">
        <v>1927</v>
      </c>
      <c r="E15" s="718" t="s">
        <v>1928</v>
      </c>
      <c r="F15" s="718" t="s">
        <v>1929</v>
      </c>
      <c r="G15" s="718" t="s">
        <v>1930</v>
      </c>
      <c r="H15" s="718" t="s">
        <v>1931</v>
      </c>
      <c r="J15" s="517" t="s">
        <v>894</v>
      </c>
      <c r="K15" s="517" t="s">
        <v>1803</v>
      </c>
      <c r="L15" s="517" t="s">
        <v>1803</v>
      </c>
      <c r="M15" s="718" t="s">
        <v>1927</v>
      </c>
      <c r="N15" s="718" t="s">
        <v>1928</v>
      </c>
      <c r="O15" s="718" t="s">
        <v>1929</v>
      </c>
      <c r="P15" s="718" t="s">
        <v>1930</v>
      </c>
      <c r="Q15" s="718" t="s">
        <v>1931</v>
      </c>
    </row>
    <row r="16" spans="1:17" ht="13.5" thickTop="1" x14ac:dyDescent="0.2">
      <c r="A16" s="722">
        <v>0.5</v>
      </c>
      <c r="B16" s="753">
        <v>3.5</v>
      </c>
      <c r="C16" s="754">
        <v>0.4375</v>
      </c>
      <c r="D16" s="755">
        <v>1.875</v>
      </c>
      <c r="E16" s="755">
        <v>0.625</v>
      </c>
      <c r="F16" s="754">
        <v>0.625</v>
      </c>
      <c r="G16" s="754">
        <v>2.375</v>
      </c>
      <c r="H16" s="756" t="s">
        <v>1932</v>
      </c>
      <c r="J16" s="727">
        <f t="shared" ref="J16:P31" si="0">A16*25.4</f>
        <v>12.7</v>
      </c>
      <c r="K16" s="757">
        <f t="shared" si="0"/>
        <v>88.899999999999991</v>
      </c>
      <c r="L16" s="757">
        <f t="shared" si="0"/>
        <v>11.112499999999999</v>
      </c>
      <c r="M16" s="757">
        <f t="shared" si="0"/>
        <v>47.625</v>
      </c>
      <c r="N16" s="757">
        <f t="shared" si="0"/>
        <v>15.875</v>
      </c>
      <c r="O16" s="757">
        <f t="shared" si="0"/>
        <v>15.875</v>
      </c>
      <c r="P16" s="757">
        <f t="shared" si="0"/>
        <v>60.324999999999996</v>
      </c>
      <c r="Q16" s="756" t="s">
        <v>1933</v>
      </c>
    </row>
    <row r="17" spans="1:17" x14ac:dyDescent="0.2">
      <c r="A17" s="729">
        <v>0.75</v>
      </c>
      <c r="B17" s="758">
        <v>3.875</v>
      </c>
      <c r="C17" s="758">
        <v>0.5</v>
      </c>
      <c r="D17" s="758">
        <v>2.0625</v>
      </c>
      <c r="E17" s="758">
        <v>0.625</v>
      </c>
      <c r="F17" s="759">
        <v>0.625</v>
      </c>
      <c r="G17" s="759">
        <v>2.75</v>
      </c>
      <c r="H17" s="760" t="s">
        <v>1932</v>
      </c>
      <c r="J17" s="733">
        <f t="shared" si="0"/>
        <v>19.049999999999997</v>
      </c>
      <c r="K17" s="761">
        <f t="shared" si="0"/>
        <v>98.424999999999997</v>
      </c>
      <c r="L17" s="761">
        <f t="shared" si="0"/>
        <v>12.7</v>
      </c>
      <c r="M17" s="761">
        <f t="shared" si="0"/>
        <v>52.387499999999996</v>
      </c>
      <c r="N17" s="761">
        <f t="shared" si="0"/>
        <v>15.875</v>
      </c>
      <c r="O17" s="761">
        <f t="shared" si="0"/>
        <v>15.875</v>
      </c>
      <c r="P17" s="761">
        <f t="shared" si="0"/>
        <v>69.849999999999994</v>
      </c>
      <c r="Q17" s="760" t="s">
        <v>1933</v>
      </c>
    </row>
    <row r="18" spans="1:17" x14ac:dyDescent="0.2">
      <c r="A18" s="735">
        <v>1</v>
      </c>
      <c r="B18" s="758">
        <v>4.25</v>
      </c>
      <c r="C18" s="758">
        <v>0.5625</v>
      </c>
      <c r="D18" s="758">
        <v>2.1875</v>
      </c>
      <c r="E18" s="759">
        <v>0.6875</v>
      </c>
      <c r="F18" s="759">
        <v>0.6875</v>
      </c>
      <c r="G18" s="759">
        <v>3.125</v>
      </c>
      <c r="H18" s="760" t="s">
        <v>1932</v>
      </c>
      <c r="J18" s="733">
        <f t="shared" si="0"/>
        <v>25.4</v>
      </c>
      <c r="K18" s="761">
        <f t="shared" si="0"/>
        <v>107.94999999999999</v>
      </c>
      <c r="L18" s="761">
        <f t="shared" si="0"/>
        <v>14.2875</v>
      </c>
      <c r="M18" s="761">
        <f t="shared" si="0"/>
        <v>55.5625</v>
      </c>
      <c r="N18" s="761">
        <f t="shared" si="0"/>
        <v>17.462499999999999</v>
      </c>
      <c r="O18" s="761">
        <f t="shared" si="0"/>
        <v>17.462499999999999</v>
      </c>
      <c r="P18" s="761">
        <f t="shared" si="0"/>
        <v>79.375</v>
      </c>
      <c r="Q18" s="760" t="s">
        <v>1933</v>
      </c>
    </row>
    <row r="19" spans="1:17" x14ac:dyDescent="0.2">
      <c r="A19" s="736">
        <v>1.25</v>
      </c>
      <c r="B19" s="758">
        <v>4.625</v>
      </c>
      <c r="C19" s="758">
        <v>0.625</v>
      </c>
      <c r="D19" s="762">
        <v>2.25</v>
      </c>
      <c r="E19" s="759">
        <v>0.8125</v>
      </c>
      <c r="F19" s="759">
        <v>0.8125</v>
      </c>
      <c r="G19" s="759">
        <v>3.5</v>
      </c>
      <c r="H19" s="760" t="s">
        <v>1932</v>
      </c>
      <c r="J19" s="733">
        <f t="shared" si="0"/>
        <v>31.75</v>
      </c>
      <c r="K19" s="763">
        <f t="shared" si="0"/>
        <v>117.47499999999999</v>
      </c>
      <c r="L19" s="761">
        <f t="shared" si="0"/>
        <v>15.875</v>
      </c>
      <c r="M19" s="761">
        <f t="shared" si="0"/>
        <v>57.15</v>
      </c>
      <c r="N19" s="761">
        <f t="shared" si="0"/>
        <v>20.637499999999999</v>
      </c>
      <c r="O19" s="761">
        <f t="shared" si="0"/>
        <v>20.637499999999999</v>
      </c>
      <c r="P19" s="761">
        <f t="shared" si="0"/>
        <v>88.899999999999991</v>
      </c>
      <c r="Q19" s="760" t="s">
        <v>1933</v>
      </c>
    </row>
    <row r="20" spans="1:17" ht="13.5" thickBot="1" x14ac:dyDescent="0.25">
      <c r="A20" s="737">
        <v>1.5</v>
      </c>
      <c r="B20" s="764">
        <v>5</v>
      </c>
      <c r="C20" s="765">
        <v>0.6875</v>
      </c>
      <c r="D20" s="765">
        <v>2.4375</v>
      </c>
      <c r="E20" s="766">
        <v>0.875</v>
      </c>
      <c r="F20" s="766">
        <v>0.875</v>
      </c>
      <c r="G20" s="766">
        <v>3.875</v>
      </c>
      <c r="H20" s="767" t="s">
        <v>1932</v>
      </c>
      <c r="J20" s="742">
        <f t="shared" si="0"/>
        <v>38.099999999999994</v>
      </c>
      <c r="K20" s="768">
        <f t="shared" si="0"/>
        <v>127</v>
      </c>
      <c r="L20" s="768">
        <f t="shared" si="0"/>
        <v>17.462499999999999</v>
      </c>
      <c r="M20" s="768">
        <f t="shared" si="0"/>
        <v>61.912499999999994</v>
      </c>
      <c r="N20" s="768">
        <f t="shared" si="0"/>
        <v>22.224999999999998</v>
      </c>
      <c r="O20" s="768">
        <f t="shared" si="0"/>
        <v>22.224999999999998</v>
      </c>
      <c r="P20" s="768">
        <f t="shared" si="0"/>
        <v>98.424999999999997</v>
      </c>
      <c r="Q20" s="767" t="s">
        <v>1933</v>
      </c>
    </row>
    <row r="21" spans="1:17" ht="13.5" thickTop="1" x14ac:dyDescent="0.2">
      <c r="A21" s="743">
        <v>2</v>
      </c>
      <c r="B21" s="769">
        <v>6</v>
      </c>
      <c r="C21" s="770">
        <v>0.75</v>
      </c>
      <c r="D21" s="771">
        <v>2.5</v>
      </c>
      <c r="E21" s="769">
        <v>1</v>
      </c>
      <c r="F21" s="772">
        <v>1</v>
      </c>
      <c r="G21" s="772">
        <v>4.75</v>
      </c>
      <c r="H21" s="773" t="s">
        <v>1934</v>
      </c>
      <c r="J21" s="727">
        <f t="shared" si="0"/>
        <v>50.8</v>
      </c>
      <c r="K21" s="757">
        <f t="shared" si="0"/>
        <v>152.39999999999998</v>
      </c>
      <c r="L21" s="757">
        <f t="shared" si="0"/>
        <v>19.049999999999997</v>
      </c>
      <c r="M21" s="757">
        <f t="shared" si="0"/>
        <v>63.5</v>
      </c>
      <c r="N21" s="757">
        <f t="shared" si="0"/>
        <v>25.4</v>
      </c>
      <c r="O21" s="757">
        <f t="shared" si="0"/>
        <v>25.4</v>
      </c>
      <c r="P21" s="757">
        <f t="shared" si="0"/>
        <v>120.64999999999999</v>
      </c>
      <c r="Q21" s="773" t="s">
        <v>1935</v>
      </c>
    </row>
    <row r="22" spans="1:17" x14ac:dyDescent="0.2">
      <c r="A22" s="736">
        <v>2.5</v>
      </c>
      <c r="B22" s="774">
        <v>7</v>
      </c>
      <c r="C22" s="758">
        <v>0.875</v>
      </c>
      <c r="D22" s="762">
        <v>2.75</v>
      </c>
      <c r="E22" s="759">
        <v>1.125</v>
      </c>
      <c r="F22" s="759">
        <v>1.125</v>
      </c>
      <c r="G22" s="759">
        <v>5.5</v>
      </c>
      <c r="H22" s="773" t="s">
        <v>1934</v>
      </c>
      <c r="J22" s="733">
        <f t="shared" si="0"/>
        <v>63.5</v>
      </c>
      <c r="K22" s="761">
        <f>B22*25.4</f>
        <v>177.79999999999998</v>
      </c>
      <c r="L22" s="761">
        <f t="shared" si="0"/>
        <v>22.224999999999998</v>
      </c>
      <c r="M22" s="761">
        <f t="shared" si="0"/>
        <v>69.849999999999994</v>
      </c>
      <c r="N22" s="761">
        <f t="shared" si="0"/>
        <v>28.574999999999999</v>
      </c>
      <c r="O22" s="761">
        <f t="shared" si="0"/>
        <v>28.574999999999999</v>
      </c>
      <c r="P22" s="761">
        <f t="shared" si="0"/>
        <v>139.69999999999999</v>
      </c>
      <c r="Q22" s="773" t="s">
        <v>1935</v>
      </c>
    </row>
    <row r="23" spans="1:17" x14ac:dyDescent="0.2">
      <c r="A23" s="735">
        <v>3</v>
      </c>
      <c r="B23" s="758">
        <v>7.5</v>
      </c>
      <c r="C23" s="758">
        <v>0.9375</v>
      </c>
      <c r="D23" s="762">
        <v>2.75</v>
      </c>
      <c r="E23" s="759">
        <v>1.1875</v>
      </c>
      <c r="F23" s="759">
        <v>1.1875</v>
      </c>
      <c r="G23" s="759">
        <v>6</v>
      </c>
      <c r="H23" s="773" t="s">
        <v>1934</v>
      </c>
      <c r="J23" s="733">
        <f t="shared" si="0"/>
        <v>76.199999999999989</v>
      </c>
      <c r="K23" s="761">
        <f>B23*25.4</f>
        <v>190.5</v>
      </c>
      <c r="L23" s="761">
        <f t="shared" si="0"/>
        <v>23.8125</v>
      </c>
      <c r="M23" s="761">
        <f t="shared" si="0"/>
        <v>69.849999999999994</v>
      </c>
      <c r="N23" s="761">
        <f t="shared" si="0"/>
        <v>30.162499999999998</v>
      </c>
      <c r="O23" s="761">
        <f t="shared" si="0"/>
        <v>30.162499999999998</v>
      </c>
      <c r="P23" s="761">
        <f t="shared" si="0"/>
        <v>152.39999999999998</v>
      </c>
      <c r="Q23" s="773" t="s">
        <v>1935</v>
      </c>
    </row>
    <row r="24" spans="1:17" x14ac:dyDescent="0.2">
      <c r="A24" s="736">
        <v>3.5</v>
      </c>
      <c r="B24" s="758">
        <v>8.5</v>
      </c>
      <c r="C24" s="758">
        <v>0.9375</v>
      </c>
      <c r="D24" s="758">
        <v>2.8125</v>
      </c>
      <c r="E24" s="759">
        <v>1.25</v>
      </c>
      <c r="F24" s="759">
        <v>1.25</v>
      </c>
      <c r="G24" s="759">
        <v>7</v>
      </c>
      <c r="H24" s="775" t="s">
        <v>1936</v>
      </c>
      <c r="J24" s="733">
        <f t="shared" si="0"/>
        <v>88.899999999999991</v>
      </c>
      <c r="K24" s="763">
        <f>B24*25.4</f>
        <v>215.89999999999998</v>
      </c>
      <c r="L24" s="761">
        <f t="shared" si="0"/>
        <v>23.8125</v>
      </c>
      <c r="M24" s="761">
        <f t="shared" si="0"/>
        <v>71.4375</v>
      </c>
      <c r="N24" s="761">
        <f t="shared" si="0"/>
        <v>31.75</v>
      </c>
      <c r="O24" s="761">
        <f t="shared" si="0"/>
        <v>31.75</v>
      </c>
      <c r="P24" s="761">
        <f t="shared" si="0"/>
        <v>177.79999999999998</v>
      </c>
      <c r="Q24" s="775" t="s">
        <v>1937</v>
      </c>
    </row>
    <row r="25" spans="1:17" ht="13.5" thickBot="1" x14ac:dyDescent="0.25">
      <c r="A25" s="744">
        <v>4</v>
      </c>
      <c r="B25" s="764">
        <v>9</v>
      </c>
      <c r="C25" s="765">
        <v>0.9375</v>
      </c>
      <c r="D25" s="776">
        <v>3</v>
      </c>
      <c r="E25" s="766">
        <v>1.3125</v>
      </c>
      <c r="F25" s="766">
        <v>1.3125</v>
      </c>
      <c r="G25" s="766">
        <v>7.5</v>
      </c>
      <c r="H25" s="777" t="s">
        <v>1936</v>
      </c>
      <c r="J25" s="742">
        <f t="shared" si="0"/>
        <v>101.6</v>
      </c>
      <c r="K25" s="768">
        <f t="shared" si="0"/>
        <v>228.6</v>
      </c>
      <c r="L25" s="768">
        <f t="shared" si="0"/>
        <v>23.8125</v>
      </c>
      <c r="M25" s="768">
        <f t="shared" si="0"/>
        <v>76.199999999999989</v>
      </c>
      <c r="N25" s="768">
        <f t="shared" si="0"/>
        <v>33.337499999999999</v>
      </c>
      <c r="O25" s="768">
        <f t="shared" si="0"/>
        <v>33.337499999999999</v>
      </c>
      <c r="P25" s="768">
        <f t="shared" si="0"/>
        <v>190.5</v>
      </c>
      <c r="Q25" s="777" t="s">
        <v>1937</v>
      </c>
    </row>
    <row r="26" spans="1:17" ht="13.5" thickTop="1" x14ac:dyDescent="0.2">
      <c r="A26" s="743">
        <v>5</v>
      </c>
      <c r="B26" s="769">
        <v>10</v>
      </c>
      <c r="C26" s="770">
        <v>0.9375</v>
      </c>
      <c r="D26" s="771">
        <v>3.5</v>
      </c>
      <c r="E26" s="772">
        <v>1.4375</v>
      </c>
      <c r="F26" s="772">
        <v>1.4375</v>
      </c>
      <c r="G26" s="772">
        <v>8.5</v>
      </c>
      <c r="H26" s="773" t="s">
        <v>1938</v>
      </c>
      <c r="J26" s="727">
        <f>A26*25.4</f>
        <v>127</v>
      </c>
      <c r="K26" s="757">
        <f>B26*25.4</f>
        <v>254</v>
      </c>
      <c r="L26" s="757">
        <f t="shared" si="0"/>
        <v>23.8125</v>
      </c>
      <c r="M26" s="757">
        <f t="shared" si="0"/>
        <v>88.899999999999991</v>
      </c>
      <c r="N26" s="757">
        <f t="shared" si="0"/>
        <v>36.512499999999996</v>
      </c>
      <c r="O26" s="757">
        <f t="shared" si="0"/>
        <v>36.512499999999996</v>
      </c>
      <c r="P26" s="757">
        <f t="shared" si="0"/>
        <v>215.89999999999998</v>
      </c>
      <c r="Q26" s="773" t="s">
        <v>1939</v>
      </c>
    </row>
    <row r="27" spans="1:17" x14ac:dyDescent="0.2">
      <c r="A27" s="735">
        <v>6</v>
      </c>
      <c r="B27" s="774">
        <v>11</v>
      </c>
      <c r="C27" s="774">
        <v>1</v>
      </c>
      <c r="D27" s="762">
        <v>3.5</v>
      </c>
      <c r="E27" s="759">
        <v>1.5625</v>
      </c>
      <c r="F27" s="759">
        <v>1.5625</v>
      </c>
      <c r="G27" s="759">
        <v>9.5</v>
      </c>
      <c r="H27" s="775" t="s">
        <v>1938</v>
      </c>
      <c r="J27" s="733">
        <f t="shared" si="0"/>
        <v>152.39999999999998</v>
      </c>
      <c r="K27" s="763">
        <f t="shared" si="0"/>
        <v>279.39999999999998</v>
      </c>
      <c r="L27" s="761">
        <f t="shared" si="0"/>
        <v>25.4</v>
      </c>
      <c r="M27" s="761">
        <f t="shared" si="0"/>
        <v>88.899999999999991</v>
      </c>
      <c r="N27" s="761">
        <f t="shared" si="0"/>
        <v>39.6875</v>
      </c>
      <c r="O27" s="761">
        <f t="shared" si="0"/>
        <v>39.6875</v>
      </c>
      <c r="P27" s="761">
        <f t="shared" si="0"/>
        <v>241.29999999999998</v>
      </c>
      <c r="Q27" s="775" t="s">
        <v>1939</v>
      </c>
    </row>
    <row r="28" spans="1:17" x14ac:dyDescent="0.2">
      <c r="A28" s="735">
        <v>8</v>
      </c>
      <c r="B28" s="758">
        <v>13.5</v>
      </c>
      <c r="C28" s="758">
        <v>1.125</v>
      </c>
      <c r="D28" s="778">
        <v>4</v>
      </c>
      <c r="E28" s="759">
        <v>1.75</v>
      </c>
      <c r="F28" s="759">
        <v>1.75</v>
      </c>
      <c r="G28" s="759">
        <v>11.75</v>
      </c>
      <c r="H28" s="775" t="s">
        <v>1938</v>
      </c>
      <c r="J28" s="733">
        <f t="shared" si="0"/>
        <v>203.2</v>
      </c>
      <c r="K28" s="763">
        <f t="shared" si="0"/>
        <v>342.9</v>
      </c>
      <c r="L28" s="761">
        <f t="shared" si="0"/>
        <v>28.574999999999999</v>
      </c>
      <c r="M28" s="761">
        <f t="shared" si="0"/>
        <v>101.6</v>
      </c>
      <c r="N28" s="761">
        <f t="shared" si="0"/>
        <v>44.449999999999996</v>
      </c>
      <c r="O28" s="761">
        <f t="shared" si="0"/>
        <v>44.449999999999996</v>
      </c>
      <c r="P28" s="761">
        <f t="shared" si="0"/>
        <v>298.45</v>
      </c>
      <c r="Q28" s="775" t="s">
        <v>1939</v>
      </c>
    </row>
    <row r="29" spans="1:17" x14ac:dyDescent="0.2">
      <c r="A29" s="735">
        <v>10</v>
      </c>
      <c r="B29" s="774">
        <v>16</v>
      </c>
      <c r="C29" s="758">
        <v>1.1875</v>
      </c>
      <c r="D29" s="778">
        <v>4</v>
      </c>
      <c r="E29" s="759">
        <v>1.9375</v>
      </c>
      <c r="F29" s="759">
        <v>1.9375</v>
      </c>
      <c r="G29" s="759">
        <v>14.25</v>
      </c>
      <c r="H29" s="779" t="s">
        <v>1940</v>
      </c>
      <c r="J29" s="733">
        <f t="shared" si="0"/>
        <v>254</v>
      </c>
      <c r="K29" s="763">
        <f t="shared" si="0"/>
        <v>406.4</v>
      </c>
      <c r="L29" s="761">
        <f t="shared" si="0"/>
        <v>30.162499999999998</v>
      </c>
      <c r="M29" s="761">
        <f t="shared" si="0"/>
        <v>101.6</v>
      </c>
      <c r="N29" s="761">
        <f t="shared" si="0"/>
        <v>49.212499999999999</v>
      </c>
      <c r="O29" s="761">
        <f t="shared" si="0"/>
        <v>49.212499999999999</v>
      </c>
      <c r="P29" s="761">
        <f t="shared" si="0"/>
        <v>361.95</v>
      </c>
      <c r="Q29" s="779" t="s">
        <v>1941</v>
      </c>
    </row>
    <row r="30" spans="1:17" ht="13.5" thickBot="1" x14ac:dyDescent="0.25">
      <c r="A30" s="744">
        <v>12</v>
      </c>
      <c r="B30" s="764">
        <v>19</v>
      </c>
      <c r="C30" s="765">
        <v>1.25</v>
      </c>
      <c r="D30" s="780">
        <v>4.5</v>
      </c>
      <c r="E30" s="766">
        <v>2.1875</v>
      </c>
      <c r="F30" s="766">
        <v>2.1875</v>
      </c>
      <c r="G30" s="766">
        <v>17</v>
      </c>
      <c r="H30" s="777" t="s">
        <v>1940</v>
      </c>
      <c r="J30" s="742">
        <f t="shared" si="0"/>
        <v>304.79999999999995</v>
      </c>
      <c r="K30" s="768">
        <f t="shared" si="0"/>
        <v>482.59999999999997</v>
      </c>
      <c r="L30" s="768">
        <f t="shared" si="0"/>
        <v>31.75</v>
      </c>
      <c r="M30" s="768">
        <f t="shared" si="0"/>
        <v>114.3</v>
      </c>
      <c r="N30" s="768">
        <f t="shared" si="0"/>
        <v>55.5625</v>
      </c>
      <c r="O30" s="768">
        <f t="shared" si="0"/>
        <v>55.5625</v>
      </c>
      <c r="P30" s="768">
        <f t="shared" si="0"/>
        <v>431.79999999999995</v>
      </c>
      <c r="Q30" s="777" t="s">
        <v>1941</v>
      </c>
    </row>
    <row r="31" spans="1:17" ht="13.5" thickTop="1" x14ac:dyDescent="0.2">
      <c r="A31" s="743">
        <v>14</v>
      </c>
      <c r="B31" s="769">
        <v>21</v>
      </c>
      <c r="C31" s="770">
        <v>1.375</v>
      </c>
      <c r="D31" s="781">
        <v>5</v>
      </c>
      <c r="E31" s="772">
        <v>2.25</v>
      </c>
      <c r="F31" s="772">
        <v>3.125</v>
      </c>
      <c r="G31" s="772">
        <v>18.75</v>
      </c>
      <c r="H31" s="773" t="s">
        <v>1942</v>
      </c>
      <c r="J31" s="727">
        <f t="shared" si="0"/>
        <v>355.59999999999997</v>
      </c>
      <c r="K31" s="757">
        <f t="shared" si="0"/>
        <v>533.4</v>
      </c>
      <c r="L31" s="757">
        <f t="shared" si="0"/>
        <v>34.924999999999997</v>
      </c>
      <c r="M31" s="757">
        <f t="shared" si="0"/>
        <v>127</v>
      </c>
      <c r="N31" s="757">
        <f t="shared" si="0"/>
        <v>57.15</v>
      </c>
      <c r="O31" s="757">
        <f t="shared" si="0"/>
        <v>79.375</v>
      </c>
      <c r="P31" s="757">
        <f t="shared" si="0"/>
        <v>476.25</v>
      </c>
      <c r="Q31" s="773" t="s">
        <v>1943</v>
      </c>
    </row>
    <row r="32" spans="1:17" x14ac:dyDescent="0.2">
      <c r="A32" s="735">
        <v>16</v>
      </c>
      <c r="B32" s="758">
        <v>23.5</v>
      </c>
      <c r="C32" s="758">
        <v>1.4375</v>
      </c>
      <c r="D32" s="778">
        <v>5</v>
      </c>
      <c r="E32" s="759">
        <v>2.5</v>
      </c>
      <c r="F32" s="759">
        <v>3.4375</v>
      </c>
      <c r="G32" s="759">
        <v>21.25</v>
      </c>
      <c r="H32" s="775" t="s">
        <v>1944</v>
      </c>
      <c r="J32" s="733">
        <f t="shared" ref="J32:P35" si="1">A32*25.4</f>
        <v>406.4</v>
      </c>
      <c r="K32" s="763">
        <f t="shared" si="1"/>
        <v>596.9</v>
      </c>
      <c r="L32" s="761">
        <f t="shared" si="1"/>
        <v>36.512499999999996</v>
      </c>
      <c r="M32" s="761">
        <f t="shared" si="1"/>
        <v>127</v>
      </c>
      <c r="N32" s="761">
        <f t="shared" si="1"/>
        <v>63.5</v>
      </c>
      <c r="O32" s="761">
        <f t="shared" si="1"/>
        <v>87.3125</v>
      </c>
      <c r="P32" s="761">
        <f t="shared" si="1"/>
        <v>539.75</v>
      </c>
      <c r="Q32" s="775" t="s">
        <v>1945</v>
      </c>
    </row>
    <row r="33" spans="1:17" x14ac:dyDescent="0.2">
      <c r="A33" s="735">
        <v>18</v>
      </c>
      <c r="B33" s="774">
        <v>25</v>
      </c>
      <c r="C33" s="758">
        <v>1.5625</v>
      </c>
      <c r="D33" s="762">
        <v>5.5</v>
      </c>
      <c r="E33" s="759">
        <v>2.6875</v>
      </c>
      <c r="F33" s="759">
        <v>3.8125</v>
      </c>
      <c r="G33" s="759">
        <v>22.75</v>
      </c>
      <c r="H33" s="775" t="s">
        <v>1946</v>
      </c>
      <c r="J33" s="733">
        <f t="shared" si="1"/>
        <v>457.2</v>
      </c>
      <c r="K33" s="763">
        <f t="shared" si="1"/>
        <v>635</v>
      </c>
      <c r="L33" s="761">
        <f t="shared" si="1"/>
        <v>39.6875</v>
      </c>
      <c r="M33" s="761">
        <f t="shared" si="1"/>
        <v>139.69999999999999</v>
      </c>
      <c r="N33" s="761">
        <f t="shared" si="1"/>
        <v>68.262500000000003</v>
      </c>
      <c r="O33" s="761">
        <f t="shared" si="1"/>
        <v>96.837499999999991</v>
      </c>
      <c r="P33" s="761">
        <f t="shared" si="1"/>
        <v>577.85</v>
      </c>
      <c r="Q33" s="775" t="s">
        <v>1947</v>
      </c>
    </row>
    <row r="34" spans="1:17" x14ac:dyDescent="0.2">
      <c r="A34" s="735">
        <v>20</v>
      </c>
      <c r="B34" s="758">
        <v>27.5</v>
      </c>
      <c r="C34" s="758">
        <v>1.6875</v>
      </c>
      <c r="D34" s="758">
        <v>5.6875</v>
      </c>
      <c r="E34" s="759">
        <v>2.875</v>
      </c>
      <c r="F34" s="759">
        <v>4.0625</v>
      </c>
      <c r="G34" s="759">
        <v>25</v>
      </c>
      <c r="H34" s="775" t="s">
        <v>1948</v>
      </c>
      <c r="J34" s="733">
        <f t="shared" si="1"/>
        <v>508</v>
      </c>
      <c r="K34" s="763">
        <f t="shared" si="1"/>
        <v>698.5</v>
      </c>
      <c r="L34" s="761">
        <f t="shared" si="1"/>
        <v>42.862499999999997</v>
      </c>
      <c r="M34" s="761">
        <f t="shared" si="1"/>
        <v>144.46250000000001</v>
      </c>
      <c r="N34" s="761">
        <f t="shared" si="1"/>
        <v>73.024999999999991</v>
      </c>
      <c r="O34" s="761">
        <f t="shared" si="1"/>
        <v>103.1875</v>
      </c>
      <c r="P34" s="761">
        <f t="shared" si="1"/>
        <v>635</v>
      </c>
      <c r="Q34" s="775" t="s">
        <v>1949</v>
      </c>
    </row>
    <row r="35" spans="1:17" ht="13.5" thickBot="1" x14ac:dyDescent="0.25">
      <c r="A35" s="744">
        <v>24</v>
      </c>
      <c r="B35" s="764">
        <v>32</v>
      </c>
      <c r="C35" s="765">
        <v>1.875</v>
      </c>
      <c r="D35" s="776">
        <v>6</v>
      </c>
      <c r="E35" s="766">
        <v>3.25</v>
      </c>
      <c r="F35" s="766">
        <v>4.375</v>
      </c>
      <c r="G35" s="766">
        <v>29.5</v>
      </c>
      <c r="H35" s="777" t="s">
        <v>1950</v>
      </c>
      <c r="J35" s="742">
        <f t="shared" si="1"/>
        <v>609.59999999999991</v>
      </c>
      <c r="K35" s="768">
        <f t="shared" si="1"/>
        <v>812.8</v>
      </c>
      <c r="L35" s="768">
        <f t="shared" si="1"/>
        <v>47.625</v>
      </c>
      <c r="M35" s="768">
        <f t="shared" si="1"/>
        <v>152.39999999999998</v>
      </c>
      <c r="N35" s="768">
        <f t="shared" si="1"/>
        <v>82.55</v>
      </c>
      <c r="O35" s="768">
        <f t="shared" si="1"/>
        <v>111.125</v>
      </c>
      <c r="P35" s="768">
        <f t="shared" si="1"/>
        <v>749.3</v>
      </c>
      <c r="Q35" s="777" t="s">
        <v>1951</v>
      </c>
    </row>
    <row r="36" spans="1:17" ht="13.5" thickTop="1" x14ac:dyDescent="0.2"/>
    <row r="37" spans="1:17" ht="13.5" thickBot="1" x14ac:dyDescent="0.25"/>
    <row r="38" spans="1:17" ht="14.25" thickTop="1" thickBot="1" x14ac:dyDescent="0.25">
      <c r="A38" s="624"/>
      <c r="B38" s="749"/>
      <c r="C38" s="750"/>
      <c r="D38" s="784" t="s">
        <v>15</v>
      </c>
      <c r="E38" s="750"/>
      <c r="F38" s="750"/>
      <c r="G38" s="750"/>
      <c r="H38" s="751"/>
      <c r="J38" s="624"/>
      <c r="K38" s="749"/>
      <c r="L38" s="750"/>
      <c r="M38" s="784" t="s">
        <v>16</v>
      </c>
      <c r="N38" s="750"/>
      <c r="O38" s="750"/>
      <c r="P38" s="750"/>
      <c r="Q38" s="751"/>
    </row>
    <row r="39" spans="1:17" ht="17.25" thickTop="1" thickBot="1" x14ac:dyDescent="0.3">
      <c r="A39" s="510" t="s">
        <v>1867</v>
      </c>
      <c r="B39" s="624"/>
      <c r="C39" s="624"/>
      <c r="D39" s="749"/>
      <c r="E39" s="752" t="s">
        <v>1919</v>
      </c>
      <c r="F39" s="750"/>
      <c r="G39" s="751"/>
      <c r="H39" s="721" t="s">
        <v>1920</v>
      </c>
      <c r="J39" s="510" t="s">
        <v>1867</v>
      </c>
      <c r="K39" s="624"/>
      <c r="L39" s="624"/>
      <c r="M39" s="749"/>
      <c r="N39" s="752" t="s">
        <v>1919</v>
      </c>
      <c r="O39" s="750"/>
      <c r="P39" s="751"/>
      <c r="Q39" s="721" t="s">
        <v>1920</v>
      </c>
    </row>
    <row r="40" spans="1:17" ht="18.75" thickTop="1" x14ac:dyDescent="0.25">
      <c r="A40" s="510" t="s">
        <v>1556</v>
      </c>
      <c r="B40" s="626" t="s">
        <v>1921</v>
      </c>
      <c r="C40" s="626" t="s">
        <v>1779</v>
      </c>
      <c r="D40" s="721" t="s">
        <v>1922</v>
      </c>
      <c r="E40" s="721" t="s">
        <v>1923</v>
      </c>
      <c r="F40" s="721" t="s">
        <v>1924</v>
      </c>
      <c r="G40" s="721" t="s">
        <v>1101</v>
      </c>
      <c r="H40" s="513" t="s">
        <v>1925</v>
      </c>
      <c r="J40" s="510" t="s">
        <v>1556</v>
      </c>
      <c r="K40" s="626" t="s">
        <v>1921</v>
      </c>
      <c r="L40" s="626" t="s">
        <v>1779</v>
      </c>
      <c r="M40" s="721" t="s">
        <v>1922</v>
      </c>
      <c r="N40" s="721" t="s">
        <v>1923</v>
      </c>
      <c r="O40" s="721" t="s">
        <v>1924</v>
      </c>
      <c r="P40" s="721" t="s">
        <v>1101</v>
      </c>
      <c r="Q40" s="513" t="s">
        <v>1925</v>
      </c>
    </row>
    <row r="41" spans="1:17" ht="13.5" thickBot="1" x14ac:dyDescent="0.25">
      <c r="A41" s="517" t="s">
        <v>894</v>
      </c>
      <c r="B41" s="519" t="s">
        <v>1926</v>
      </c>
      <c r="C41" s="519" t="s">
        <v>1926</v>
      </c>
      <c r="D41" s="718" t="s">
        <v>1927</v>
      </c>
      <c r="E41" s="718" t="s">
        <v>1928</v>
      </c>
      <c r="F41" s="718" t="s">
        <v>1929</v>
      </c>
      <c r="G41" s="718" t="s">
        <v>1930</v>
      </c>
      <c r="H41" s="718" t="s">
        <v>1931</v>
      </c>
      <c r="J41" s="517" t="s">
        <v>894</v>
      </c>
      <c r="K41" s="517" t="s">
        <v>1803</v>
      </c>
      <c r="L41" s="517" t="s">
        <v>1803</v>
      </c>
      <c r="M41" s="718" t="s">
        <v>1927</v>
      </c>
      <c r="N41" s="718" t="s">
        <v>1928</v>
      </c>
      <c r="O41" s="718" t="s">
        <v>1929</v>
      </c>
      <c r="P41" s="718" t="s">
        <v>1930</v>
      </c>
      <c r="Q41" s="718" t="s">
        <v>1931</v>
      </c>
    </row>
    <row r="42" spans="1:17" ht="13.5" thickTop="1" x14ac:dyDescent="0.2">
      <c r="A42" s="722">
        <v>0.5</v>
      </c>
      <c r="B42" s="753">
        <v>3.75</v>
      </c>
      <c r="C42" s="754">
        <v>0.5625</v>
      </c>
      <c r="D42" s="754">
        <v>2.0625</v>
      </c>
      <c r="E42" s="754">
        <v>0.875</v>
      </c>
      <c r="F42" s="754">
        <v>0.875</v>
      </c>
      <c r="G42" s="754">
        <v>2.625</v>
      </c>
      <c r="H42" s="756" t="s">
        <v>1932</v>
      </c>
      <c r="J42" s="727">
        <f t="shared" ref="J42:P57" si="2">A42*25.4</f>
        <v>12.7</v>
      </c>
      <c r="K42" s="757">
        <f t="shared" si="2"/>
        <v>95.25</v>
      </c>
      <c r="L42" s="757">
        <f t="shared" si="2"/>
        <v>14.2875</v>
      </c>
      <c r="M42" s="757">
        <f t="shared" si="2"/>
        <v>52.387499999999996</v>
      </c>
      <c r="N42" s="757">
        <f t="shared" si="2"/>
        <v>22.224999999999998</v>
      </c>
      <c r="O42" s="757">
        <f t="shared" si="2"/>
        <v>22.224999999999998</v>
      </c>
      <c r="P42" s="757">
        <f t="shared" si="2"/>
        <v>66.674999999999997</v>
      </c>
      <c r="Q42" s="756" t="s">
        <v>1933</v>
      </c>
    </row>
    <row r="43" spans="1:17" x14ac:dyDescent="0.2">
      <c r="A43" s="729">
        <v>0.75</v>
      </c>
      <c r="B43" s="758">
        <v>4.625</v>
      </c>
      <c r="C43" s="758">
        <v>0.625</v>
      </c>
      <c r="D43" s="758">
        <v>2.25</v>
      </c>
      <c r="E43" s="758">
        <v>1</v>
      </c>
      <c r="F43" s="759">
        <v>1</v>
      </c>
      <c r="G43" s="759">
        <v>3.25</v>
      </c>
      <c r="H43" s="760" t="s">
        <v>1952</v>
      </c>
      <c r="J43" s="733">
        <f t="shared" si="2"/>
        <v>19.049999999999997</v>
      </c>
      <c r="K43" s="761">
        <f t="shared" si="2"/>
        <v>117.47499999999999</v>
      </c>
      <c r="L43" s="761">
        <f t="shared" si="2"/>
        <v>15.875</v>
      </c>
      <c r="M43" s="761">
        <f t="shared" si="2"/>
        <v>57.15</v>
      </c>
      <c r="N43" s="761">
        <f t="shared" si="2"/>
        <v>25.4</v>
      </c>
      <c r="O43" s="761">
        <f t="shared" si="2"/>
        <v>25.4</v>
      </c>
      <c r="P43" s="761">
        <f t="shared" si="2"/>
        <v>82.55</v>
      </c>
      <c r="Q43" s="760" t="s">
        <v>1953</v>
      </c>
    </row>
    <row r="44" spans="1:17" x14ac:dyDescent="0.2">
      <c r="A44" s="735">
        <v>1</v>
      </c>
      <c r="B44" s="758">
        <v>4.875</v>
      </c>
      <c r="C44" s="758">
        <v>0.6875</v>
      </c>
      <c r="D44" s="758">
        <v>2.4375</v>
      </c>
      <c r="E44" s="759">
        <v>1.0625</v>
      </c>
      <c r="F44" s="759">
        <v>1.0625</v>
      </c>
      <c r="G44" s="759">
        <v>3.5</v>
      </c>
      <c r="H44" s="760" t="s">
        <v>1952</v>
      </c>
      <c r="J44" s="733">
        <f t="shared" si="2"/>
        <v>25.4</v>
      </c>
      <c r="K44" s="761">
        <f t="shared" si="2"/>
        <v>123.82499999999999</v>
      </c>
      <c r="L44" s="761">
        <f t="shared" si="2"/>
        <v>17.462499999999999</v>
      </c>
      <c r="M44" s="761">
        <f t="shared" si="2"/>
        <v>61.912499999999994</v>
      </c>
      <c r="N44" s="761">
        <f t="shared" si="2"/>
        <v>26.987499999999997</v>
      </c>
      <c r="O44" s="761">
        <f t="shared" si="2"/>
        <v>26.987499999999997</v>
      </c>
      <c r="P44" s="761">
        <f t="shared" si="2"/>
        <v>88.899999999999991</v>
      </c>
      <c r="Q44" s="760" t="s">
        <v>1953</v>
      </c>
    </row>
    <row r="45" spans="1:17" x14ac:dyDescent="0.2">
      <c r="A45" s="736">
        <v>1.25</v>
      </c>
      <c r="B45" s="758">
        <v>5.25</v>
      </c>
      <c r="C45" s="758">
        <v>0.75</v>
      </c>
      <c r="D45" s="758">
        <v>2.5625</v>
      </c>
      <c r="E45" s="759">
        <v>1.0625</v>
      </c>
      <c r="F45" s="759">
        <v>1.0625</v>
      </c>
      <c r="G45" s="759">
        <v>3.875</v>
      </c>
      <c r="H45" s="760" t="s">
        <v>1952</v>
      </c>
      <c r="J45" s="733">
        <f t="shared" si="2"/>
        <v>31.75</v>
      </c>
      <c r="K45" s="763">
        <f t="shared" si="2"/>
        <v>133.35</v>
      </c>
      <c r="L45" s="761">
        <f t="shared" si="2"/>
        <v>19.049999999999997</v>
      </c>
      <c r="M45" s="761">
        <f t="shared" si="2"/>
        <v>65.087499999999991</v>
      </c>
      <c r="N45" s="761">
        <f t="shared" si="2"/>
        <v>26.987499999999997</v>
      </c>
      <c r="O45" s="761">
        <f t="shared" si="2"/>
        <v>26.987499999999997</v>
      </c>
      <c r="P45" s="761">
        <f t="shared" si="2"/>
        <v>98.424999999999997</v>
      </c>
      <c r="Q45" s="760" t="s">
        <v>1953</v>
      </c>
    </row>
    <row r="46" spans="1:17" ht="13.5" thickBot="1" x14ac:dyDescent="0.25">
      <c r="A46" s="737">
        <v>1.5</v>
      </c>
      <c r="B46" s="766">
        <v>6.125</v>
      </c>
      <c r="C46" s="765">
        <v>0.8125</v>
      </c>
      <c r="D46" s="765">
        <v>2.6875</v>
      </c>
      <c r="E46" s="766">
        <v>1.1875</v>
      </c>
      <c r="F46" s="766">
        <v>1.1875</v>
      </c>
      <c r="G46" s="766">
        <v>4.5</v>
      </c>
      <c r="H46" s="767" t="s">
        <v>1954</v>
      </c>
      <c r="J46" s="742">
        <f t="shared" si="2"/>
        <v>38.099999999999994</v>
      </c>
      <c r="K46" s="768">
        <f t="shared" si="2"/>
        <v>155.57499999999999</v>
      </c>
      <c r="L46" s="768">
        <f t="shared" si="2"/>
        <v>20.637499999999999</v>
      </c>
      <c r="M46" s="768">
        <f t="shared" si="2"/>
        <v>68.262500000000003</v>
      </c>
      <c r="N46" s="768">
        <f t="shared" si="2"/>
        <v>30.162499999999998</v>
      </c>
      <c r="O46" s="768">
        <f t="shared" si="2"/>
        <v>30.162499999999998</v>
      </c>
      <c r="P46" s="768">
        <f t="shared" si="2"/>
        <v>114.3</v>
      </c>
      <c r="Q46" s="767" t="s">
        <v>1955</v>
      </c>
    </row>
    <row r="47" spans="1:17" ht="13.5" thickTop="1" x14ac:dyDescent="0.2">
      <c r="A47" s="743">
        <v>2</v>
      </c>
      <c r="B47" s="772">
        <v>6.5</v>
      </c>
      <c r="C47" s="770">
        <v>0.875</v>
      </c>
      <c r="D47" s="770">
        <v>2.75</v>
      </c>
      <c r="E47" s="772">
        <v>1.3125</v>
      </c>
      <c r="F47" s="772">
        <v>1.3125</v>
      </c>
      <c r="G47" s="772">
        <v>5</v>
      </c>
      <c r="H47" s="773" t="s">
        <v>1936</v>
      </c>
      <c r="J47" s="727">
        <f t="shared" si="2"/>
        <v>50.8</v>
      </c>
      <c r="K47" s="757">
        <f t="shared" si="2"/>
        <v>165.1</v>
      </c>
      <c r="L47" s="757">
        <f t="shared" si="2"/>
        <v>22.224999999999998</v>
      </c>
      <c r="M47" s="757">
        <f t="shared" si="2"/>
        <v>69.849999999999994</v>
      </c>
      <c r="N47" s="757">
        <f t="shared" si="2"/>
        <v>33.337499999999999</v>
      </c>
      <c r="O47" s="757">
        <f t="shared" si="2"/>
        <v>33.337499999999999</v>
      </c>
      <c r="P47" s="757">
        <f t="shared" si="2"/>
        <v>127</v>
      </c>
      <c r="Q47" s="773" t="s">
        <v>1937</v>
      </c>
    </row>
    <row r="48" spans="1:17" x14ac:dyDescent="0.2">
      <c r="A48" s="736">
        <v>2.5</v>
      </c>
      <c r="B48" s="759">
        <v>7.5</v>
      </c>
      <c r="C48" s="758">
        <v>1</v>
      </c>
      <c r="D48" s="758">
        <v>3</v>
      </c>
      <c r="E48" s="759">
        <v>1.5</v>
      </c>
      <c r="F48" s="759">
        <v>1.5</v>
      </c>
      <c r="G48" s="759">
        <v>5.875</v>
      </c>
      <c r="H48" s="773" t="s">
        <v>1938</v>
      </c>
      <c r="J48" s="733">
        <f t="shared" si="2"/>
        <v>63.5</v>
      </c>
      <c r="K48" s="761">
        <f>B48*25.4</f>
        <v>190.5</v>
      </c>
      <c r="L48" s="761">
        <f t="shared" si="2"/>
        <v>25.4</v>
      </c>
      <c r="M48" s="761">
        <f t="shared" si="2"/>
        <v>76.199999999999989</v>
      </c>
      <c r="N48" s="761">
        <f t="shared" si="2"/>
        <v>38.099999999999994</v>
      </c>
      <c r="O48" s="761">
        <f t="shared" si="2"/>
        <v>38.099999999999994</v>
      </c>
      <c r="P48" s="761">
        <f t="shared" si="2"/>
        <v>149.22499999999999</v>
      </c>
      <c r="Q48" s="773" t="s">
        <v>1939</v>
      </c>
    </row>
    <row r="49" spans="1:17" x14ac:dyDescent="0.2">
      <c r="A49" s="735">
        <v>3</v>
      </c>
      <c r="B49" s="758">
        <v>8.25</v>
      </c>
      <c r="C49" s="758">
        <v>1.125</v>
      </c>
      <c r="D49" s="758">
        <v>3.125</v>
      </c>
      <c r="E49" s="759">
        <v>1.6875</v>
      </c>
      <c r="F49" s="759">
        <v>1.6875</v>
      </c>
      <c r="G49" s="759">
        <v>6.625</v>
      </c>
      <c r="H49" s="773" t="s">
        <v>1938</v>
      </c>
      <c r="J49" s="733">
        <f t="shared" si="2"/>
        <v>76.199999999999989</v>
      </c>
      <c r="K49" s="761">
        <f>B49*25.4</f>
        <v>209.54999999999998</v>
      </c>
      <c r="L49" s="761">
        <f t="shared" si="2"/>
        <v>28.574999999999999</v>
      </c>
      <c r="M49" s="761">
        <f t="shared" si="2"/>
        <v>79.375</v>
      </c>
      <c r="N49" s="761">
        <f t="shared" si="2"/>
        <v>42.862499999999997</v>
      </c>
      <c r="O49" s="761">
        <f t="shared" si="2"/>
        <v>42.862499999999997</v>
      </c>
      <c r="P49" s="761">
        <f t="shared" si="2"/>
        <v>168.27499999999998</v>
      </c>
      <c r="Q49" s="773" t="s">
        <v>1939</v>
      </c>
    </row>
    <row r="50" spans="1:17" x14ac:dyDescent="0.2">
      <c r="A50" s="736">
        <v>3.5</v>
      </c>
      <c r="B50" s="758">
        <v>9</v>
      </c>
      <c r="C50" s="758">
        <v>1.1875</v>
      </c>
      <c r="D50" s="758">
        <v>3.1875</v>
      </c>
      <c r="E50" s="759">
        <v>1.75</v>
      </c>
      <c r="F50" s="759">
        <v>1.75</v>
      </c>
      <c r="G50" s="759">
        <v>7.25</v>
      </c>
      <c r="H50" s="773" t="s">
        <v>1938</v>
      </c>
      <c r="J50" s="733">
        <f t="shared" si="2"/>
        <v>88.899999999999991</v>
      </c>
      <c r="K50" s="763">
        <f>B50*25.4</f>
        <v>228.6</v>
      </c>
      <c r="L50" s="761">
        <f t="shared" si="2"/>
        <v>30.162499999999998</v>
      </c>
      <c r="M50" s="761">
        <f t="shared" si="2"/>
        <v>80.962499999999991</v>
      </c>
      <c r="N50" s="761">
        <f t="shared" si="2"/>
        <v>44.449999999999996</v>
      </c>
      <c r="O50" s="761">
        <f t="shared" si="2"/>
        <v>44.449999999999996</v>
      </c>
      <c r="P50" s="761">
        <f t="shared" si="2"/>
        <v>184.14999999999998</v>
      </c>
      <c r="Q50" s="773" t="s">
        <v>1939</v>
      </c>
    </row>
    <row r="51" spans="1:17" ht="13.5" thickBot="1" x14ac:dyDescent="0.25">
      <c r="A51" s="744">
        <v>4</v>
      </c>
      <c r="B51" s="766">
        <v>10</v>
      </c>
      <c r="C51" s="765">
        <v>1.25</v>
      </c>
      <c r="D51" s="766">
        <v>3.375</v>
      </c>
      <c r="E51" s="766">
        <v>1.875</v>
      </c>
      <c r="F51" s="766">
        <v>1.875</v>
      </c>
      <c r="G51" s="766">
        <v>7.875</v>
      </c>
      <c r="H51" s="777" t="s">
        <v>1938</v>
      </c>
      <c r="J51" s="742">
        <f t="shared" si="2"/>
        <v>101.6</v>
      </c>
      <c r="K51" s="768">
        <f t="shared" si="2"/>
        <v>254</v>
      </c>
      <c r="L51" s="768">
        <f t="shared" si="2"/>
        <v>31.75</v>
      </c>
      <c r="M51" s="768">
        <f t="shared" si="2"/>
        <v>85.724999999999994</v>
      </c>
      <c r="N51" s="768">
        <f t="shared" si="2"/>
        <v>47.625</v>
      </c>
      <c r="O51" s="768">
        <f t="shared" si="2"/>
        <v>47.625</v>
      </c>
      <c r="P51" s="768">
        <f t="shared" si="2"/>
        <v>200.02499999999998</v>
      </c>
      <c r="Q51" s="777" t="s">
        <v>1939</v>
      </c>
    </row>
    <row r="52" spans="1:17" ht="13.5" thickTop="1" x14ac:dyDescent="0.2">
      <c r="A52" s="743">
        <v>5</v>
      </c>
      <c r="B52" s="772">
        <v>11</v>
      </c>
      <c r="C52" s="770">
        <v>1.375</v>
      </c>
      <c r="D52" s="770">
        <v>3.875</v>
      </c>
      <c r="E52" s="772">
        <v>2</v>
      </c>
      <c r="F52" s="772">
        <v>2</v>
      </c>
      <c r="G52" s="772">
        <v>9.25</v>
      </c>
      <c r="H52" s="773" t="s">
        <v>1938</v>
      </c>
      <c r="J52" s="727">
        <f>A52*25.4</f>
        <v>127</v>
      </c>
      <c r="K52" s="757">
        <f>B52*25.4</f>
        <v>279.39999999999998</v>
      </c>
      <c r="L52" s="757">
        <f t="shared" si="2"/>
        <v>34.924999999999997</v>
      </c>
      <c r="M52" s="757">
        <f t="shared" si="2"/>
        <v>98.424999999999997</v>
      </c>
      <c r="N52" s="757">
        <f t="shared" si="2"/>
        <v>50.8</v>
      </c>
      <c r="O52" s="757">
        <f t="shared" si="2"/>
        <v>50.8</v>
      </c>
      <c r="P52" s="757">
        <f t="shared" si="2"/>
        <v>234.95</v>
      </c>
      <c r="Q52" s="773" t="s">
        <v>1939</v>
      </c>
    </row>
    <row r="53" spans="1:17" x14ac:dyDescent="0.2">
      <c r="A53" s="735">
        <v>6</v>
      </c>
      <c r="B53" s="759">
        <v>12.5</v>
      </c>
      <c r="C53" s="759">
        <v>1.4375</v>
      </c>
      <c r="D53" s="758">
        <v>3.875</v>
      </c>
      <c r="E53" s="759">
        <v>2.0625</v>
      </c>
      <c r="F53" s="759">
        <v>2.0625</v>
      </c>
      <c r="G53" s="759">
        <v>10.625</v>
      </c>
      <c r="H53" s="775" t="s">
        <v>1956</v>
      </c>
      <c r="J53" s="733">
        <f t="shared" ref="J53:P61" si="3">A53*25.4</f>
        <v>152.39999999999998</v>
      </c>
      <c r="K53" s="763">
        <f t="shared" si="3"/>
        <v>317.5</v>
      </c>
      <c r="L53" s="761">
        <f t="shared" si="2"/>
        <v>36.512499999999996</v>
      </c>
      <c r="M53" s="761">
        <f t="shared" si="2"/>
        <v>98.424999999999997</v>
      </c>
      <c r="N53" s="761">
        <f t="shared" si="2"/>
        <v>52.387499999999996</v>
      </c>
      <c r="O53" s="761">
        <f t="shared" si="2"/>
        <v>52.387499999999996</v>
      </c>
      <c r="P53" s="761">
        <f t="shared" si="2"/>
        <v>269.875</v>
      </c>
      <c r="Q53" s="775" t="s">
        <v>1957</v>
      </c>
    </row>
    <row r="54" spans="1:17" x14ac:dyDescent="0.2">
      <c r="A54" s="735">
        <v>8</v>
      </c>
      <c r="B54" s="758">
        <v>15</v>
      </c>
      <c r="C54" s="758">
        <v>1.625</v>
      </c>
      <c r="D54" s="759">
        <v>4.375</v>
      </c>
      <c r="E54" s="759">
        <v>2.4375</v>
      </c>
      <c r="F54" s="759">
        <v>2.4375</v>
      </c>
      <c r="G54" s="759">
        <v>13</v>
      </c>
      <c r="H54" s="779" t="s">
        <v>1940</v>
      </c>
      <c r="J54" s="733">
        <f t="shared" si="3"/>
        <v>203.2</v>
      </c>
      <c r="K54" s="763">
        <f t="shared" si="3"/>
        <v>381</v>
      </c>
      <c r="L54" s="761">
        <f t="shared" si="2"/>
        <v>41.274999999999999</v>
      </c>
      <c r="M54" s="761">
        <f t="shared" si="2"/>
        <v>111.125</v>
      </c>
      <c r="N54" s="761">
        <f t="shared" si="2"/>
        <v>61.912499999999994</v>
      </c>
      <c r="O54" s="761">
        <f t="shared" si="2"/>
        <v>61.912499999999994</v>
      </c>
      <c r="P54" s="761">
        <f t="shared" si="2"/>
        <v>330.2</v>
      </c>
      <c r="Q54" s="779" t="s">
        <v>1941</v>
      </c>
    </row>
    <row r="55" spans="1:17" x14ac:dyDescent="0.2">
      <c r="A55" s="735">
        <v>10</v>
      </c>
      <c r="B55" s="759">
        <v>17.5</v>
      </c>
      <c r="C55" s="758">
        <v>1.875</v>
      </c>
      <c r="D55" s="759">
        <v>4.625</v>
      </c>
      <c r="E55" s="759">
        <v>2.625</v>
      </c>
      <c r="F55" s="759">
        <v>3.75</v>
      </c>
      <c r="G55" s="759">
        <v>15.25</v>
      </c>
      <c r="H55" s="779" t="s">
        <v>1944</v>
      </c>
      <c r="J55" s="733">
        <f t="shared" si="3"/>
        <v>254</v>
      </c>
      <c r="K55" s="763">
        <f t="shared" si="3"/>
        <v>444.5</v>
      </c>
      <c r="L55" s="761">
        <f t="shared" si="2"/>
        <v>47.625</v>
      </c>
      <c r="M55" s="761">
        <f t="shared" si="2"/>
        <v>117.47499999999999</v>
      </c>
      <c r="N55" s="761">
        <f t="shared" si="2"/>
        <v>66.674999999999997</v>
      </c>
      <c r="O55" s="761">
        <f t="shared" si="2"/>
        <v>95.25</v>
      </c>
      <c r="P55" s="761">
        <f t="shared" si="2"/>
        <v>387.34999999999997</v>
      </c>
      <c r="Q55" s="779" t="s">
        <v>1945</v>
      </c>
    </row>
    <row r="56" spans="1:17" ht="13.5" thickBot="1" x14ac:dyDescent="0.25">
      <c r="A56" s="744">
        <v>12</v>
      </c>
      <c r="B56" s="766">
        <v>20.5</v>
      </c>
      <c r="C56" s="765">
        <v>2</v>
      </c>
      <c r="D56" s="765">
        <v>5.125</v>
      </c>
      <c r="E56" s="766">
        <v>2.875</v>
      </c>
      <c r="F56" s="766">
        <v>4</v>
      </c>
      <c r="G56" s="766">
        <v>17.75</v>
      </c>
      <c r="H56" s="777" t="s">
        <v>1946</v>
      </c>
      <c r="J56" s="742">
        <f t="shared" si="3"/>
        <v>304.79999999999995</v>
      </c>
      <c r="K56" s="768">
        <f t="shared" si="3"/>
        <v>520.69999999999993</v>
      </c>
      <c r="L56" s="768">
        <f t="shared" si="2"/>
        <v>50.8</v>
      </c>
      <c r="M56" s="768">
        <f t="shared" si="2"/>
        <v>130.17499999999998</v>
      </c>
      <c r="N56" s="768">
        <f t="shared" si="2"/>
        <v>73.024999999999991</v>
      </c>
      <c r="O56" s="768">
        <f t="shared" si="2"/>
        <v>101.6</v>
      </c>
      <c r="P56" s="768">
        <f t="shared" si="2"/>
        <v>450.84999999999997</v>
      </c>
      <c r="Q56" s="777" t="s">
        <v>1947</v>
      </c>
    </row>
    <row r="57" spans="1:17" ht="13.5" thickTop="1" x14ac:dyDescent="0.2">
      <c r="A57" s="743">
        <v>14</v>
      </c>
      <c r="B57" s="772">
        <v>23</v>
      </c>
      <c r="C57" s="770">
        <v>2.125</v>
      </c>
      <c r="D57" s="772">
        <v>5.625</v>
      </c>
      <c r="E57" s="772">
        <v>3</v>
      </c>
      <c r="F57" s="772">
        <v>4.375</v>
      </c>
      <c r="G57" s="772">
        <v>20.25</v>
      </c>
      <c r="H57" s="773" t="s">
        <v>1948</v>
      </c>
      <c r="J57" s="727">
        <f t="shared" si="3"/>
        <v>355.59999999999997</v>
      </c>
      <c r="K57" s="757">
        <f t="shared" si="3"/>
        <v>584.19999999999993</v>
      </c>
      <c r="L57" s="757">
        <f t="shared" si="2"/>
        <v>53.974999999999994</v>
      </c>
      <c r="M57" s="757">
        <f t="shared" si="2"/>
        <v>142.875</v>
      </c>
      <c r="N57" s="757">
        <f t="shared" si="2"/>
        <v>76.199999999999989</v>
      </c>
      <c r="O57" s="757">
        <f t="shared" si="2"/>
        <v>111.125</v>
      </c>
      <c r="P57" s="757">
        <f t="shared" si="2"/>
        <v>514.35</v>
      </c>
      <c r="Q57" s="773" t="s">
        <v>1949</v>
      </c>
    </row>
    <row r="58" spans="1:17" x14ac:dyDescent="0.2">
      <c r="A58" s="735">
        <v>16</v>
      </c>
      <c r="B58" s="758">
        <v>25.5</v>
      </c>
      <c r="C58" s="758">
        <v>2.25</v>
      </c>
      <c r="D58" s="759">
        <v>5.75</v>
      </c>
      <c r="E58" s="759">
        <v>3.25</v>
      </c>
      <c r="F58" s="759">
        <v>4.75</v>
      </c>
      <c r="G58" s="759">
        <v>22.5</v>
      </c>
      <c r="H58" s="775" t="s">
        <v>1950</v>
      </c>
      <c r="J58" s="733">
        <f t="shared" si="3"/>
        <v>406.4</v>
      </c>
      <c r="K58" s="763">
        <f t="shared" si="3"/>
        <v>647.69999999999993</v>
      </c>
      <c r="L58" s="761">
        <f t="shared" si="3"/>
        <v>57.15</v>
      </c>
      <c r="M58" s="761">
        <f t="shared" si="3"/>
        <v>146.04999999999998</v>
      </c>
      <c r="N58" s="761">
        <f t="shared" si="3"/>
        <v>82.55</v>
      </c>
      <c r="O58" s="761">
        <f t="shared" si="3"/>
        <v>120.64999999999999</v>
      </c>
      <c r="P58" s="761">
        <f t="shared" si="3"/>
        <v>571.5</v>
      </c>
      <c r="Q58" s="775" t="s">
        <v>1951</v>
      </c>
    </row>
    <row r="59" spans="1:17" x14ac:dyDescent="0.2">
      <c r="A59" s="735">
        <v>18</v>
      </c>
      <c r="B59" s="759">
        <v>28</v>
      </c>
      <c r="C59" s="758">
        <v>2.375</v>
      </c>
      <c r="D59" s="758">
        <v>6.25</v>
      </c>
      <c r="E59" s="759">
        <v>3.5</v>
      </c>
      <c r="F59" s="759">
        <v>5.125</v>
      </c>
      <c r="G59" s="759">
        <v>24.75</v>
      </c>
      <c r="H59" s="775" t="s">
        <v>1958</v>
      </c>
      <c r="J59" s="733">
        <f t="shared" si="3"/>
        <v>457.2</v>
      </c>
      <c r="K59" s="763">
        <f t="shared" si="3"/>
        <v>711.19999999999993</v>
      </c>
      <c r="L59" s="761">
        <f t="shared" si="3"/>
        <v>60.324999999999996</v>
      </c>
      <c r="M59" s="761">
        <f t="shared" si="3"/>
        <v>158.75</v>
      </c>
      <c r="N59" s="761">
        <f t="shared" si="3"/>
        <v>88.899999999999991</v>
      </c>
      <c r="O59" s="761">
        <f t="shared" si="3"/>
        <v>130.17499999999998</v>
      </c>
      <c r="P59" s="761">
        <f t="shared" si="3"/>
        <v>628.65</v>
      </c>
      <c r="Q59" s="775" t="s">
        <v>1959</v>
      </c>
    </row>
    <row r="60" spans="1:17" x14ac:dyDescent="0.2">
      <c r="A60" s="735">
        <v>20</v>
      </c>
      <c r="B60" s="758">
        <v>30.5</v>
      </c>
      <c r="C60" s="758">
        <v>2.5</v>
      </c>
      <c r="D60" s="758">
        <v>6.375</v>
      </c>
      <c r="E60" s="759">
        <v>3.75</v>
      </c>
      <c r="F60" s="759">
        <v>5.5</v>
      </c>
      <c r="G60" s="759">
        <v>27</v>
      </c>
      <c r="H60" s="775" t="s">
        <v>1958</v>
      </c>
      <c r="J60" s="733">
        <f t="shared" si="3"/>
        <v>508</v>
      </c>
      <c r="K60" s="763">
        <f t="shared" si="3"/>
        <v>774.69999999999993</v>
      </c>
      <c r="L60" s="761">
        <f t="shared" si="3"/>
        <v>63.5</v>
      </c>
      <c r="M60" s="761">
        <f t="shared" si="3"/>
        <v>161.92499999999998</v>
      </c>
      <c r="N60" s="761">
        <f t="shared" si="3"/>
        <v>95.25</v>
      </c>
      <c r="O60" s="761">
        <f t="shared" si="3"/>
        <v>139.69999999999999</v>
      </c>
      <c r="P60" s="761">
        <f t="shared" si="3"/>
        <v>685.8</v>
      </c>
      <c r="Q60" s="775" t="s">
        <v>1959</v>
      </c>
    </row>
    <row r="61" spans="1:17" ht="13.5" thickBot="1" x14ac:dyDescent="0.25">
      <c r="A61" s="744">
        <v>24</v>
      </c>
      <c r="B61" s="766">
        <v>36</v>
      </c>
      <c r="C61" s="765">
        <v>2.75</v>
      </c>
      <c r="D61" s="766">
        <v>6.625</v>
      </c>
      <c r="E61" s="766">
        <v>4.1875</v>
      </c>
      <c r="F61" s="766">
        <v>6</v>
      </c>
      <c r="G61" s="766">
        <v>32</v>
      </c>
      <c r="H61" s="777" t="s">
        <v>1960</v>
      </c>
      <c r="J61" s="742">
        <f t="shared" si="3"/>
        <v>609.59999999999991</v>
      </c>
      <c r="K61" s="768">
        <f t="shared" si="3"/>
        <v>914.4</v>
      </c>
      <c r="L61" s="768">
        <f t="shared" si="3"/>
        <v>69.849999999999994</v>
      </c>
      <c r="M61" s="768">
        <f t="shared" si="3"/>
        <v>168.27499999999998</v>
      </c>
      <c r="N61" s="768">
        <f t="shared" si="3"/>
        <v>106.3625</v>
      </c>
      <c r="O61" s="768">
        <f t="shared" si="3"/>
        <v>152.39999999999998</v>
      </c>
      <c r="P61" s="768">
        <f t="shared" si="3"/>
        <v>812.8</v>
      </c>
      <c r="Q61" s="777" t="s">
        <v>1961</v>
      </c>
    </row>
    <row r="62" spans="1:17" ht="13.5" thickTop="1" x14ac:dyDescent="0.2"/>
    <row r="63" spans="1:17" ht="13.5" thickBot="1" x14ac:dyDescent="0.25">
      <c r="A63" s="192" t="s">
        <v>26</v>
      </c>
      <c r="J63" s="192" t="s">
        <v>27</v>
      </c>
    </row>
    <row r="64" spans="1:17" ht="14.25" thickTop="1" thickBot="1" x14ac:dyDescent="0.25">
      <c r="A64" s="624"/>
      <c r="B64" s="749"/>
      <c r="C64" s="750"/>
      <c r="D64" s="784" t="s">
        <v>17</v>
      </c>
      <c r="E64" s="750"/>
      <c r="F64" s="750"/>
      <c r="G64" s="750"/>
      <c r="H64" s="751"/>
      <c r="J64" s="624"/>
      <c r="K64" s="749"/>
      <c r="L64" s="750"/>
      <c r="M64" s="784" t="s">
        <v>18</v>
      </c>
      <c r="N64" s="750"/>
      <c r="O64" s="750"/>
      <c r="P64" s="750"/>
      <c r="Q64" s="751"/>
    </row>
    <row r="65" spans="1:17" ht="17.25" thickTop="1" thickBot="1" x14ac:dyDescent="0.3">
      <c r="A65" s="510" t="s">
        <v>1867</v>
      </c>
      <c r="B65" s="624"/>
      <c r="C65" s="624"/>
      <c r="D65" s="752" t="s">
        <v>25</v>
      </c>
      <c r="E65" s="752"/>
      <c r="F65" s="750"/>
      <c r="G65" s="751"/>
      <c r="H65" s="721" t="s">
        <v>1920</v>
      </c>
      <c r="J65" s="510" t="s">
        <v>1867</v>
      </c>
      <c r="K65" s="624"/>
      <c r="L65" s="624"/>
      <c r="M65" s="752" t="s">
        <v>25</v>
      </c>
      <c r="N65" s="752"/>
      <c r="O65" s="750"/>
      <c r="P65" s="751"/>
      <c r="Q65" s="721" t="s">
        <v>1920</v>
      </c>
    </row>
    <row r="66" spans="1:17" ht="18.75" thickTop="1" x14ac:dyDescent="0.25">
      <c r="A66" s="510" t="s">
        <v>1556</v>
      </c>
      <c r="B66" s="626" t="s">
        <v>1921</v>
      </c>
      <c r="C66" s="626" t="s">
        <v>1779</v>
      </c>
      <c r="D66" s="721" t="s">
        <v>1922</v>
      </c>
      <c r="E66" s="721" t="s">
        <v>1923</v>
      </c>
      <c r="F66" s="721" t="s">
        <v>1924</v>
      </c>
      <c r="G66" s="721" t="s">
        <v>1101</v>
      </c>
      <c r="H66" s="513" t="s">
        <v>1925</v>
      </c>
      <c r="J66" s="510" t="s">
        <v>1556</v>
      </c>
      <c r="K66" s="626" t="s">
        <v>1921</v>
      </c>
      <c r="L66" s="626" t="s">
        <v>1779</v>
      </c>
      <c r="M66" s="721" t="s">
        <v>1922</v>
      </c>
      <c r="N66" s="721" t="s">
        <v>1923</v>
      </c>
      <c r="O66" s="721" t="s">
        <v>1924</v>
      </c>
      <c r="P66" s="721" t="s">
        <v>1101</v>
      </c>
      <c r="Q66" s="513" t="s">
        <v>1925</v>
      </c>
    </row>
    <row r="67" spans="1:17" ht="13.5" thickBot="1" x14ac:dyDescent="0.25">
      <c r="A67" s="517" t="s">
        <v>894</v>
      </c>
      <c r="B67" s="519" t="s">
        <v>1926</v>
      </c>
      <c r="C67" s="519" t="s">
        <v>1926</v>
      </c>
      <c r="D67" s="718" t="s">
        <v>1927</v>
      </c>
      <c r="E67" s="718" t="s">
        <v>1928</v>
      </c>
      <c r="F67" s="718" t="s">
        <v>1929</v>
      </c>
      <c r="G67" s="718" t="s">
        <v>1930</v>
      </c>
      <c r="H67" s="718" t="s">
        <v>1931</v>
      </c>
      <c r="J67" s="517" t="s">
        <v>894</v>
      </c>
      <c r="K67" s="517" t="s">
        <v>1803</v>
      </c>
      <c r="L67" s="517" t="s">
        <v>1803</v>
      </c>
      <c r="M67" s="718" t="s">
        <v>1927</v>
      </c>
      <c r="N67" s="718" t="s">
        <v>1928</v>
      </c>
      <c r="O67" s="718" t="s">
        <v>1929</v>
      </c>
      <c r="P67" s="718" t="s">
        <v>1930</v>
      </c>
      <c r="Q67" s="718" t="s">
        <v>1931</v>
      </c>
    </row>
    <row r="68" spans="1:17" ht="13.5" thickTop="1" x14ac:dyDescent="0.2">
      <c r="A68" s="722">
        <v>0.5</v>
      </c>
      <c r="B68" s="753">
        <v>3.75</v>
      </c>
      <c r="C68" s="754">
        <v>0.5625</v>
      </c>
      <c r="D68" s="754">
        <v>2.0625</v>
      </c>
      <c r="E68" s="754">
        <v>0.875</v>
      </c>
      <c r="F68" s="754">
        <v>0.875</v>
      </c>
      <c r="G68" s="754">
        <v>2.625</v>
      </c>
      <c r="H68" s="756" t="s">
        <v>1932</v>
      </c>
      <c r="J68" s="727">
        <f t="shared" ref="J68:P83" si="4">A68*25.4</f>
        <v>12.7</v>
      </c>
      <c r="K68" s="757">
        <f t="shared" si="4"/>
        <v>95.25</v>
      </c>
      <c r="L68" s="757">
        <f t="shared" si="4"/>
        <v>14.2875</v>
      </c>
      <c r="M68" s="757">
        <f t="shared" si="4"/>
        <v>52.387499999999996</v>
      </c>
      <c r="N68" s="757">
        <f t="shared" si="4"/>
        <v>22.224999999999998</v>
      </c>
      <c r="O68" s="757">
        <f t="shared" si="4"/>
        <v>22.224999999999998</v>
      </c>
      <c r="P68" s="757">
        <f t="shared" si="4"/>
        <v>66.674999999999997</v>
      </c>
      <c r="Q68" s="756" t="s">
        <v>1933</v>
      </c>
    </row>
    <row r="69" spans="1:17" x14ac:dyDescent="0.2">
      <c r="A69" s="729">
        <v>0.75</v>
      </c>
      <c r="B69" s="758">
        <v>4.625</v>
      </c>
      <c r="C69" s="758">
        <v>0.625</v>
      </c>
      <c r="D69" s="758">
        <v>2.25</v>
      </c>
      <c r="E69" s="758">
        <v>1</v>
      </c>
      <c r="F69" s="759">
        <v>1</v>
      </c>
      <c r="G69" s="759">
        <v>3.25</v>
      </c>
      <c r="H69" s="760" t="s">
        <v>1952</v>
      </c>
      <c r="J69" s="733">
        <f t="shared" si="4"/>
        <v>19.049999999999997</v>
      </c>
      <c r="K69" s="761">
        <f t="shared" si="4"/>
        <v>117.47499999999999</v>
      </c>
      <c r="L69" s="761">
        <f t="shared" si="4"/>
        <v>15.875</v>
      </c>
      <c r="M69" s="761">
        <f t="shared" si="4"/>
        <v>57.15</v>
      </c>
      <c r="N69" s="761">
        <f t="shared" si="4"/>
        <v>25.4</v>
      </c>
      <c r="O69" s="761">
        <f t="shared" si="4"/>
        <v>25.4</v>
      </c>
      <c r="P69" s="761">
        <f t="shared" si="4"/>
        <v>82.55</v>
      </c>
      <c r="Q69" s="760" t="s">
        <v>1953</v>
      </c>
    </row>
    <row r="70" spans="1:17" x14ac:dyDescent="0.2">
      <c r="A70" s="735">
        <v>1</v>
      </c>
      <c r="B70" s="758">
        <v>4.875</v>
      </c>
      <c r="C70" s="758">
        <v>0.6875</v>
      </c>
      <c r="D70" s="758">
        <v>2.4375</v>
      </c>
      <c r="E70" s="759">
        <v>1.0625</v>
      </c>
      <c r="F70" s="759">
        <v>1.0625</v>
      </c>
      <c r="G70" s="759">
        <v>3.5</v>
      </c>
      <c r="H70" s="760" t="s">
        <v>1952</v>
      </c>
      <c r="J70" s="733">
        <f t="shared" si="4"/>
        <v>25.4</v>
      </c>
      <c r="K70" s="761">
        <f t="shared" si="4"/>
        <v>123.82499999999999</v>
      </c>
      <c r="L70" s="761">
        <f t="shared" si="4"/>
        <v>17.462499999999999</v>
      </c>
      <c r="M70" s="761">
        <f t="shared" si="4"/>
        <v>61.912499999999994</v>
      </c>
      <c r="N70" s="761">
        <f t="shared" si="4"/>
        <v>26.987499999999997</v>
      </c>
      <c r="O70" s="761">
        <f t="shared" si="4"/>
        <v>26.987499999999997</v>
      </c>
      <c r="P70" s="761">
        <f t="shared" si="4"/>
        <v>88.899999999999991</v>
      </c>
      <c r="Q70" s="760" t="s">
        <v>1953</v>
      </c>
    </row>
    <row r="71" spans="1:17" x14ac:dyDescent="0.2">
      <c r="A71" s="736">
        <v>1.25</v>
      </c>
      <c r="B71" s="758">
        <v>5.25</v>
      </c>
      <c r="C71" s="758">
        <v>0.8125</v>
      </c>
      <c r="D71" s="758">
        <v>2.625</v>
      </c>
      <c r="E71" s="759">
        <v>1.125</v>
      </c>
      <c r="F71" s="759">
        <v>1.125</v>
      </c>
      <c r="G71" s="759">
        <v>3.875</v>
      </c>
      <c r="H71" s="760" t="s">
        <v>1952</v>
      </c>
      <c r="J71" s="733">
        <f t="shared" si="4"/>
        <v>31.75</v>
      </c>
      <c r="K71" s="763">
        <f t="shared" si="4"/>
        <v>133.35</v>
      </c>
      <c r="L71" s="761">
        <f t="shared" si="4"/>
        <v>20.637499999999999</v>
      </c>
      <c r="M71" s="761">
        <f t="shared" si="4"/>
        <v>66.674999999999997</v>
      </c>
      <c r="N71" s="761">
        <f t="shared" si="4"/>
        <v>28.574999999999999</v>
      </c>
      <c r="O71" s="761">
        <f t="shared" si="4"/>
        <v>28.574999999999999</v>
      </c>
      <c r="P71" s="761">
        <f t="shared" si="4"/>
        <v>98.424999999999997</v>
      </c>
      <c r="Q71" s="760" t="s">
        <v>1953</v>
      </c>
    </row>
    <row r="72" spans="1:17" ht="13.5" thickBot="1" x14ac:dyDescent="0.25">
      <c r="A72" s="737">
        <v>1.5</v>
      </c>
      <c r="B72" s="766">
        <v>6.125</v>
      </c>
      <c r="C72" s="765">
        <v>0.875</v>
      </c>
      <c r="D72" s="765">
        <v>2.75</v>
      </c>
      <c r="E72" s="766">
        <v>1.25</v>
      </c>
      <c r="F72" s="766">
        <v>1.25</v>
      </c>
      <c r="G72" s="766">
        <v>4.5</v>
      </c>
      <c r="H72" s="767" t="s">
        <v>1954</v>
      </c>
      <c r="J72" s="742">
        <f t="shared" si="4"/>
        <v>38.099999999999994</v>
      </c>
      <c r="K72" s="768">
        <f t="shared" si="4"/>
        <v>155.57499999999999</v>
      </c>
      <c r="L72" s="768">
        <f t="shared" si="4"/>
        <v>22.224999999999998</v>
      </c>
      <c r="M72" s="768">
        <f t="shared" si="4"/>
        <v>69.849999999999994</v>
      </c>
      <c r="N72" s="768">
        <f t="shared" si="4"/>
        <v>31.75</v>
      </c>
      <c r="O72" s="768">
        <f t="shared" si="4"/>
        <v>31.75</v>
      </c>
      <c r="P72" s="768">
        <f t="shared" si="4"/>
        <v>114.3</v>
      </c>
      <c r="Q72" s="767" t="s">
        <v>1955</v>
      </c>
    </row>
    <row r="73" spans="1:17" ht="13.5" thickTop="1" x14ac:dyDescent="0.2">
      <c r="A73" s="743">
        <v>2</v>
      </c>
      <c r="B73" s="772">
        <v>6.5</v>
      </c>
      <c r="C73" s="770">
        <v>1</v>
      </c>
      <c r="D73" s="770">
        <v>2.875</v>
      </c>
      <c r="E73" s="772">
        <v>1.4375</v>
      </c>
      <c r="F73" s="772">
        <v>1.4375</v>
      </c>
      <c r="G73" s="772">
        <v>5</v>
      </c>
      <c r="H73" s="773" t="s">
        <v>1936</v>
      </c>
      <c r="J73" s="727">
        <f t="shared" si="4"/>
        <v>50.8</v>
      </c>
      <c r="K73" s="757">
        <f t="shared" si="4"/>
        <v>165.1</v>
      </c>
      <c r="L73" s="757">
        <f t="shared" si="4"/>
        <v>25.4</v>
      </c>
      <c r="M73" s="757">
        <f t="shared" si="4"/>
        <v>73.024999999999991</v>
      </c>
      <c r="N73" s="757">
        <f t="shared" si="4"/>
        <v>36.512499999999996</v>
      </c>
      <c r="O73" s="757">
        <f t="shared" si="4"/>
        <v>36.512499999999996</v>
      </c>
      <c r="P73" s="757">
        <f t="shared" si="4"/>
        <v>127</v>
      </c>
      <c r="Q73" s="773" t="s">
        <v>1937</v>
      </c>
    </row>
    <row r="74" spans="1:17" x14ac:dyDescent="0.2">
      <c r="A74" s="736">
        <v>2.5</v>
      </c>
      <c r="B74" s="759">
        <v>7.5</v>
      </c>
      <c r="C74" s="758">
        <v>1.125</v>
      </c>
      <c r="D74" s="758">
        <v>3.125</v>
      </c>
      <c r="E74" s="759">
        <v>1.625</v>
      </c>
      <c r="F74" s="759">
        <v>1.625</v>
      </c>
      <c r="G74" s="759">
        <v>5.875</v>
      </c>
      <c r="H74" s="773" t="s">
        <v>1938</v>
      </c>
      <c r="J74" s="733">
        <f t="shared" si="4"/>
        <v>63.5</v>
      </c>
      <c r="K74" s="761">
        <f>B74*25.4</f>
        <v>190.5</v>
      </c>
      <c r="L74" s="761">
        <f t="shared" si="4"/>
        <v>28.574999999999999</v>
      </c>
      <c r="M74" s="761">
        <f t="shared" si="4"/>
        <v>79.375</v>
      </c>
      <c r="N74" s="761">
        <f t="shared" si="4"/>
        <v>41.274999999999999</v>
      </c>
      <c r="O74" s="761">
        <f t="shared" si="4"/>
        <v>41.274999999999999</v>
      </c>
      <c r="P74" s="761">
        <f t="shared" si="4"/>
        <v>149.22499999999999</v>
      </c>
      <c r="Q74" s="773" t="s">
        <v>1939</v>
      </c>
    </row>
    <row r="75" spans="1:17" x14ac:dyDescent="0.2">
      <c r="A75" s="735">
        <v>3</v>
      </c>
      <c r="B75" s="758">
        <v>8.25</v>
      </c>
      <c r="C75" s="758">
        <v>1.25</v>
      </c>
      <c r="D75" s="758">
        <v>3.25</v>
      </c>
      <c r="E75" s="759">
        <v>1.8125</v>
      </c>
      <c r="F75" s="759">
        <v>1.8125</v>
      </c>
      <c r="G75" s="759">
        <v>6.625</v>
      </c>
      <c r="H75" s="773" t="s">
        <v>1938</v>
      </c>
      <c r="J75" s="733">
        <f t="shared" si="4"/>
        <v>76.199999999999989</v>
      </c>
      <c r="K75" s="761">
        <f>B75*25.4</f>
        <v>209.54999999999998</v>
      </c>
      <c r="L75" s="761">
        <f t="shared" si="4"/>
        <v>31.75</v>
      </c>
      <c r="M75" s="761">
        <f t="shared" si="4"/>
        <v>82.55</v>
      </c>
      <c r="N75" s="761">
        <f t="shared" si="4"/>
        <v>46.037499999999994</v>
      </c>
      <c r="O75" s="761">
        <f t="shared" si="4"/>
        <v>46.037499999999994</v>
      </c>
      <c r="P75" s="761">
        <f t="shared" si="4"/>
        <v>168.27499999999998</v>
      </c>
      <c r="Q75" s="773" t="s">
        <v>1939</v>
      </c>
    </row>
    <row r="76" spans="1:17" x14ac:dyDescent="0.2">
      <c r="A76" s="736">
        <v>3.5</v>
      </c>
      <c r="B76" s="758">
        <v>9</v>
      </c>
      <c r="C76" s="758">
        <v>1.375</v>
      </c>
      <c r="D76" s="758">
        <v>3.625</v>
      </c>
      <c r="E76" s="759">
        <v>1.9375</v>
      </c>
      <c r="F76" s="759">
        <v>1.9375</v>
      </c>
      <c r="G76" s="759">
        <v>7.25</v>
      </c>
      <c r="H76" s="773" t="s">
        <v>1962</v>
      </c>
      <c r="J76" s="733">
        <f t="shared" si="4"/>
        <v>88.899999999999991</v>
      </c>
      <c r="K76" s="763">
        <f>B76*25.4</f>
        <v>228.6</v>
      </c>
      <c r="L76" s="761">
        <f t="shared" si="4"/>
        <v>34.924999999999997</v>
      </c>
      <c r="M76" s="761">
        <f t="shared" si="4"/>
        <v>92.074999999999989</v>
      </c>
      <c r="N76" s="761">
        <f t="shared" si="4"/>
        <v>49.212499999999999</v>
      </c>
      <c r="O76" s="761">
        <f t="shared" si="4"/>
        <v>49.212499999999999</v>
      </c>
      <c r="P76" s="761">
        <f t="shared" si="4"/>
        <v>184.14999999999998</v>
      </c>
      <c r="Q76" s="773" t="s">
        <v>1963</v>
      </c>
    </row>
    <row r="77" spans="1:17" ht="13.5" thickBot="1" x14ac:dyDescent="0.25">
      <c r="A77" s="744">
        <v>4</v>
      </c>
      <c r="B77" s="766">
        <v>10</v>
      </c>
      <c r="C77" s="765">
        <v>1.375</v>
      </c>
      <c r="D77" s="766">
        <v>3.5</v>
      </c>
      <c r="E77" s="766">
        <v>2</v>
      </c>
      <c r="F77" s="766">
        <v>2</v>
      </c>
      <c r="G77" s="766">
        <v>7.875</v>
      </c>
      <c r="H77" s="777" t="s">
        <v>1962</v>
      </c>
      <c r="J77" s="742">
        <f t="shared" si="4"/>
        <v>101.6</v>
      </c>
      <c r="K77" s="768">
        <f t="shared" si="4"/>
        <v>254</v>
      </c>
      <c r="L77" s="768">
        <f t="shared" si="4"/>
        <v>34.924999999999997</v>
      </c>
      <c r="M77" s="768">
        <f t="shared" si="4"/>
        <v>88.899999999999991</v>
      </c>
      <c r="N77" s="768">
        <f t="shared" si="4"/>
        <v>50.8</v>
      </c>
      <c r="O77" s="768">
        <f t="shared" si="4"/>
        <v>50.8</v>
      </c>
      <c r="P77" s="768">
        <f t="shared" si="4"/>
        <v>200.02499999999998</v>
      </c>
      <c r="Q77" s="777" t="s">
        <v>1963</v>
      </c>
    </row>
    <row r="78" spans="1:17" ht="13.5" thickTop="1" x14ac:dyDescent="0.2">
      <c r="A78" s="743">
        <v>5</v>
      </c>
      <c r="B78" s="772">
        <v>11</v>
      </c>
      <c r="C78" s="770">
        <v>1.5</v>
      </c>
      <c r="D78" s="770">
        <v>4</v>
      </c>
      <c r="E78" s="772">
        <v>2.125</v>
      </c>
      <c r="F78" s="772">
        <v>2.125</v>
      </c>
      <c r="G78" s="772">
        <v>9.25</v>
      </c>
      <c r="H78" s="773" t="s">
        <v>1962</v>
      </c>
      <c r="J78" s="727">
        <f>A78*25.4</f>
        <v>127</v>
      </c>
      <c r="K78" s="757">
        <f>B78*25.4</f>
        <v>279.39999999999998</v>
      </c>
      <c r="L78" s="757">
        <f t="shared" si="4"/>
        <v>38.099999999999994</v>
      </c>
      <c r="M78" s="757">
        <f t="shared" si="4"/>
        <v>101.6</v>
      </c>
      <c r="N78" s="757">
        <f t="shared" si="4"/>
        <v>53.974999999999994</v>
      </c>
      <c r="O78" s="757">
        <f t="shared" si="4"/>
        <v>53.974999999999994</v>
      </c>
      <c r="P78" s="757">
        <f t="shared" si="4"/>
        <v>234.95</v>
      </c>
      <c r="Q78" s="773" t="s">
        <v>1963</v>
      </c>
    </row>
    <row r="79" spans="1:17" x14ac:dyDescent="0.2">
      <c r="A79" s="735">
        <v>6</v>
      </c>
      <c r="B79" s="759">
        <v>12.5</v>
      </c>
      <c r="C79" s="759">
        <v>1.625</v>
      </c>
      <c r="D79" s="758">
        <v>4.0625</v>
      </c>
      <c r="E79" s="759">
        <v>2.25</v>
      </c>
      <c r="F79" s="759">
        <v>2.25</v>
      </c>
      <c r="G79" s="759">
        <v>10.625</v>
      </c>
      <c r="H79" s="775" t="s">
        <v>1940</v>
      </c>
      <c r="J79" s="733">
        <f t="shared" ref="J79:P87" si="5">A79*25.4</f>
        <v>152.39999999999998</v>
      </c>
      <c r="K79" s="763">
        <f t="shared" si="5"/>
        <v>317.5</v>
      </c>
      <c r="L79" s="761">
        <f t="shared" si="4"/>
        <v>41.274999999999999</v>
      </c>
      <c r="M79" s="761">
        <f t="shared" si="4"/>
        <v>103.1875</v>
      </c>
      <c r="N79" s="761">
        <f t="shared" si="4"/>
        <v>57.15</v>
      </c>
      <c r="O79" s="761">
        <f t="shared" si="4"/>
        <v>57.15</v>
      </c>
      <c r="P79" s="761">
        <f t="shared" si="4"/>
        <v>269.875</v>
      </c>
      <c r="Q79" s="775" t="s">
        <v>1941</v>
      </c>
    </row>
    <row r="80" spans="1:17" x14ac:dyDescent="0.2">
      <c r="A80" s="735">
        <v>8</v>
      </c>
      <c r="B80" s="758">
        <v>15</v>
      </c>
      <c r="C80" s="758">
        <v>1.875</v>
      </c>
      <c r="D80" s="759">
        <v>4.625</v>
      </c>
      <c r="E80" s="759">
        <v>2.6875</v>
      </c>
      <c r="F80" s="759">
        <v>2.6875</v>
      </c>
      <c r="G80" s="759">
        <v>13</v>
      </c>
      <c r="H80" s="779" t="s">
        <v>1942</v>
      </c>
      <c r="J80" s="733">
        <f t="shared" si="5"/>
        <v>203.2</v>
      </c>
      <c r="K80" s="763">
        <f t="shared" si="5"/>
        <v>381</v>
      </c>
      <c r="L80" s="761">
        <f t="shared" si="4"/>
        <v>47.625</v>
      </c>
      <c r="M80" s="761">
        <f t="shared" si="4"/>
        <v>117.47499999999999</v>
      </c>
      <c r="N80" s="761">
        <f t="shared" si="4"/>
        <v>68.262500000000003</v>
      </c>
      <c r="O80" s="761">
        <f t="shared" si="4"/>
        <v>68.262500000000003</v>
      </c>
      <c r="P80" s="761">
        <f t="shared" si="4"/>
        <v>330.2</v>
      </c>
      <c r="Q80" s="779" t="s">
        <v>1943</v>
      </c>
    </row>
    <row r="81" spans="1:17" x14ac:dyDescent="0.2">
      <c r="A81" s="735">
        <v>10</v>
      </c>
      <c r="B81" s="759">
        <v>17.5</v>
      </c>
      <c r="C81" s="758">
        <v>2.125</v>
      </c>
      <c r="D81" s="759">
        <v>4.875</v>
      </c>
      <c r="E81" s="759">
        <v>2.875</v>
      </c>
      <c r="F81" s="759">
        <v>4</v>
      </c>
      <c r="G81" s="759">
        <v>15.25</v>
      </c>
      <c r="H81" s="779" t="s">
        <v>1946</v>
      </c>
      <c r="J81" s="733">
        <f t="shared" si="5"/>
        <v>254</v>
      </c>
      <c r="K81" s="763">
        <f t="shared" si="5"/>
        <v>444.5</v>
      </c>
      <c r="L81" s="761">
        <f t="shared" si="4"/>
        <v>53.974999999999994</v>
      </c>
      <c r="M81" s="761">
        <f t="shared" si="4"/>
        <v>123.82499999999999</v>
      </c>
      <c r="N81" s="761">
        <f t="shared" si="4"/>
        <v>73.024999999999991</v>
      </c>
      <c r="O81" s="761">
        <f t="shared" si="4"/>
        <v>101.6</v>
      </c>
      <c r="P81" s="761">
        <f t="shared" si="4"/>
        <v>387.34999999999997</v>
      </c>
      <c r="Q81" s="779" t="s">
        <v>1947</v>
      </c>
    </row>
    <row r="82" spans="1:17" ht="13.5" thickBot="1" x14ac:dyDescent="0.25">
      <c r="A82" s="744">
        <v>12</v>
      </c>
      <c r="B82" s="766">
        <v>20.5</v>
      </c>
      <c r="C82" s="765">
        <v>2.25</v>
      </c>
      <c r="D82" s="765">
        <v>5.375</v>
      </c>
      <c r="E82" s="766">
        <v>3.125</v>
      </c>
      <c r="F82" s="766">
        <v>4.25</v>
      </c>
      <c r="G82" s="766">
        <v>17.75</v>
      </c>
      <c r="H82" s="777" t="s">
        <v>1964</v>
      </c>
      <c r="J82" s="742">
        <f t="shared" si="5"/>
        <v>304.79999999999995</v>
      </c>
      <c r="K82" s="768">
        <f t="shared" si="5"/>
        <v>520.69999999999993</v>
      </c>
      <c r="L82" s="768">
        <f t="shared" si="4"/>
        <v>57.15</v>
      </c>
      <c r="M82" s="768">
        <f t="shared" si="4"/>
        <v>136.52500000000001</v>
      </c>
      <c r="N82" s="768">
        <f t="shared" si="4"/>
        <v>79.375</v>
      </c>
      <c r="O82" s="768">
        <f t="shared" si="4"/>
        <v>107.94999999999999</v>
      </c>
      <c r="P82" s="768">
        <f t="shared" si="4"/>
        <v>450.84999999999997</v>
      </c>
      <c r="Q82" s="777" t="s">
        <v>1965</v>
      </c>
    </row>
    <row r="83" spans="1:17" ht="13.5" thickTop="1" x14ac:dyDescent="0.2">
      <c r="A83" s="743">
        <v>14</v>
      </c>
      <c r="B83" s="772">
        <v>23</v>
      </c>
      <c r="C83" s="770">
        <v>2.375</v>
      </c>
      <c r="D83" s="772">
        <v>5.875</v>
      </c>
      <c r="E83" s="772">
        <v>3.3125</v>
      </c>
      <c r="F83" s="772">
        <v>4.625</v>
      </c>
      <c r="G83" s="772">
        <v>20.25</v>
      </c>
      <c r="H83" s="773" t="s">
        <v>1950</v>
      </c>
      <c r="J83" s="727">
        <f t="shared" si="5"/>
        <v>355.59999999999997</v>
      </c>
      <c r="K83" s="757">
        <f t="shared" si="5"/>
        <v>584.19999999999993</v>
      </c>
      <c r="L83" s="757">
        <f t="shared" si="4"/>
        <v>60.324999999999996</v>
      </c>
      <c r="M83" s="757">
        <f t="shared" si="4"/>
        <v>149.22499999999999</v>
      </c>
      <c r="N83" s="757">
        <f t="shared" si="4"/>
        <v>84.137499999999989</v>
      </c>
      <c r="O83" s="757">
        <f t="shared" si="4"/>
        <v>117.47499999999999</v>
      </c>
      <c r="P83" s="757">
        <f t="shared" si="4"/>
        <v>514.35</v>
      </c>
      <c r="Q83" s="773" t="s">
        <v>1951</v>
      </c>
    </row>
    <row r="84" spans="1:17" x14ac:dyDescent="0.2">
      <c r="A84" s="735">
        <v>16</v>
      </c>
      <c r="B84" s="758">
        <v>25.5</v>
      </c>
      <c r="C84" s="758">
        <v>2.5</v>
      </c>
      <c r="D84" s="759">
        <v>6</v>
      </c>
      <c r="E84" s="759">
        <v>3.6875</v>
      </c>
      <c r="F84" s="759">
        <v>5</v>
      </c>
      <c r="G84" s="759">
        <v>22.5</v>
      </c>
      <c r="H84" s="775" t="s">
        <v>1966</v>
      </c>
      <c r="J84" s="733">
        <f t="shared" si="5"/>
        <v>406.4</v>
      </c>
      <c r="K84" s="763">
        <f t="shared" si="5"/>
        <v>647.69999999999993</v>
      </c>
      <c r="L84" s="761">
        <f t="shared" si="5"/>
        <v>63.5</v>
      </c>
      <c r="M84" s="761">
        <f t="shared" si="5"/>
        <v>152.39999999999998</v>
      </c>
      <c r="N84" s="761">
        <f t="shared" si="5"/>
        <v>93.662499999999994</v>
      </c>
      <c r="O84" s="761">
        <f t="shared" si="5"/>
        <v>127</v>
      </c>
      <c r="P84" s="761">
        <f t="shared" si="5"/>
        <v>571.5</v>
      </c>
      <c r="Q84" s="775" t="s">
        <v>1967</v>
      </c>
    </row>
    <row r="85" spans="1:17" x14ac:dyDescent="0.2">
      <c r="A85" s="735">
        <v>18</v>
      </c>
      <c r="B85" s="759">
        <v>28</v>
      </c>
      <c r="C85" s="758">
        <v>2.625</v>
      </c>
      <c r="D85" s="758">
        <v>6.5</v>
      </c>
      <c r="E85" s="759">
        <v>3.875</v>
      </c>
      <c r="F85" s="759">
        <v>5.375</v>
      </c>
      <c r="G85" s="759">
        <v>24.75</v>
      </c>
      <c r="H85" s="775" t="s">
        <v>1968</v>
      </c>
      <c r="J85" s="733">
        <f t="shared" si="5"/>
        <v>457.2</v>
      </c>
      <c r="K85" s="763">
        <f t="shared" si="5"/>
        <v>711.19999999999993</v>
      </c>
      <c r="L85" s="761">
        <f t="shared" si="5"/>
        <v>66.674999999999997</v>
      </c>
      <c r="M85" s="761">
        <f t="shared" si="5"/>
        <v>165.1</v>
      </c>
      <c r="N85" s="761">
        <f t="shared" si="5"/>
        <v>98.424999999999997</v>
      </c>
      <c r="O85" s="761">
        <f t="shared" si="5"/>
        <v>136.52500000000001</v>
      </c>
      <c r="P85" s="761">
        <f t="shared" si="5"/>
        <v>628.65</v>
      </c>
      <c r="Q85" s="775" t="s">
        <v>1969</v>
      </c>
    </row>
    <row r="86" spans="1:17" x14ac:dyDescent="0.2">
      <c r="A86" s="735">
        <v>20</v>
      </c>
      <c r="B86" s="758">
        <v>30.5</v>
      </c>
      <c r="C86" s="758">
        <v>2.75</v>
      </c>
      <c r="D86" s="758">
        <v>6.625</v>
      </c>
      <c r="E86" s="759">
        <v>4</v>
      </c>
      <c r="F86" s="759">
        <v>5.75</v>
      </c>
      <c r="G86" s="759">
        <v>27</v>
      </c>
      <c r="H86" s="775" t="s">
        <v>1960</v>
      </c>
      <c r="J86" s="733">
        <f t="shared" si="5"/>
        <v>508</v>
      </c>
      <c r="K86" s="763">
        <f t="shared" si="5"/>
        <v>774.69999999999993</v>
      </c>
      <c r="L86" s="761">
        <f t="shared" si="5"/>
        <v>69.849999999999994</v>
      </c>
      <c r="M86" s="761">
        <f t="shared" si="5"/>
        <v>168.27499999999998</v>
      </c>
      <c r="N86" s="761">
        <f t="shared" si="5"/>
        <v>101.6</v>
      </c>
      <c r="O86" s="761">
        <f t="shared" si="5"/>
        <v>146.04999999999998</v>
      </c>
      <c r="P86" s="761">
        <f t="shared" si="5"/>
        <v>685.8</v>
      </c>
      <c r="Q86" s="775" t="s">
        <v>1961</v>
      </c>
    </row>
    <row r="87" spans="1:17" ht="13.5" thickBot="1" x14ac:dyDescent="0.25">
      <c r="A87" s="744">
        <v>24</v>
      </c>
      <c r="B87" s="766">
        <v>36</v>
      </c>
      <c r="C87" s="765">
        <v>3</v>
      </c>
      <c r="D87" s="766">
        <v>6.875</v>
      </c>
      <c r="E87" s="766">
        <v>4.5</v>
      </c>
      <c r="F87" s="766">
        <v>6.25</v>
      </c>
      <c r="G87" s="766">
        <v>32</v>
      </c>
      <c r="H87" s="777" t="s">
        <v>1970</v>
      </c>
      <c r="J87" s="742">
        <f t="shared" si="5"/>
        <v>609.59999999999991</v>
      </c>
      <c r="K87" s="768">
        <f t="shared" si="5"/>
        <v>914.4</v>
      </c>
      <c r="L87" s="768">
        <f t="shared" si="5"/>
        <v>76.199999999999989</v>
      </c>
      <c r="M87" s="768">
        <f t="shared" si="5"/>
        <v>174.625</v>
      </c>
      <c r="N87" s="768">
        <f t="shared" si="5"/>
        <v>114.3</v>
      </c>
      <c r="O87" s="768">
        <f t="shared" si="5"/>
        <v>158.75</v>
      </c>
      <c r="P87" s="768">
        <f t="shared" si="5"/>
        <v>812.8</v>
      </c>
      <c r="Q87" s="777" t="s">
        <v>1971</v>
      </c>
    </row>
    <row r="88" spans="1:17" ht="13.5" thickTop="1" x14ac:dyDescent="0.2"/>
    <row r="89" spans="1:17" ht="13.5" thickBot="1" x14ac:dyDescent="0.25">
      <c r="A89" s="192" t="s">
        <v>26</v>
      </c>
      <c r="J89" s="192" t="s">
        <v>27</v>
      </c>
    </row>
    <row r="90" spans="1:17" ht="14.25" thickTop="1" thickBot="1" x14ac:dyDescent="0.25">
      <c r="A90" s="624"/>
      <c r="B90" s="749"/>
      <c r="C90" s="750"/>
      <c r="D90" s="784" t="s">
        <v>19</v>
      </c>
      <c r="E90" s="750"/>
      <c r="F90" s="750"/>
      <c r="G90" s="750"/>
      <c r="H90" s="751"/>
      <c r="J90" s="624"/>
      <c r="K90" s="749"/>
      <c r="L90" s="750"/>
      <c r="M90" s="784" t="s">
        <v>20</v>
      </c>
      <c r="N90" s="750"/>
      <c r="O90" s="750"/>
      <c r="P90" s="750"/>
      <c r="Q90" s="751"/>
    </row>
    <row r="91" spans="1:17" ht="17.25" thickTop="1" thickBot="1" x14ac:dyDescent="0.3">
      <c r="A91" s="510" t="s">
        <v>1867</v>
      </c>
      <c r="B91" s="624"/>
      <c r="C91" s="624"/>
      <c r="D91" s="752" t="s">
        <v>25</v>
      </c>
      <c r="E91" s="752"/>
      <c r="F91" s="750"/>
      <c r="G91" s="751"/>
      <c r="H91" s="721" t="s">
        <v>1920</v>
      </c>
      <c r="J91" s="510" t="s">
        <v>1867</v>
      </c>
      <c r="K91" s="624"/>
      <c r="L91" s="624"/>
      <c r="M91" s="752" t="s">
        <v>25</v>
      </c>
      <c r="N91" s="752"/>
      <c r="O91" s="750"/>
      <c r="P91" s="751"/>
      <c r="Q91" s="721" t="s">
        <v>1920</v>
      </c>
    </row>
    <row r="92" spans="1:17" ht="18.75" thickTop="1" x14ac:dyDescent="0.25">
      <c r="A92" s="510" t="s">
        <v>1556</v>
      </c>
      <c r="B92" s="626" t="s">
        <v>1921</v>
      </c>
      <c r="C92" s="626" t="s">
        <v>1779</v>
      </c>
      <c r="D92" s="721" t="s">
        <v>1922</v>
      </c>
      <c r="E92" s="721" t="s">
        <v>1923</v>
      </c>
      <c r="F92" s="721" t="s">
        <v>1924</v>
      </c>
      <c r="G92" s="721" t="s">
        <v>1101</v>
      </c>
      <c r="H92" s="513" t="s">
        <v>1925</v>
      </c>
      <c r="J92" s="510" t="s">
        <v>1556</v>
      </c>
      <c r="K92" s="626" t="s">
        <v>1921</v>
      </c>
      <c r="L92" s="626" t="s">
        <v>1779</v>
      </c>
      <c r="M92" s="721" t="s">
        <v>1922</v>
      </c>
      <c r="N92" s="721" t="s">
        <v>1923</v>
      </c>
      <c r="O92" s="721" t="s">
        <v>1924</v>
      </c>
      <c r="P92" s="721" t="s">
        <v>1101</v>
      </c>
      <c r="Q92" s="513" t="s">
        <v>1925</v>
      </c>
    </row>
    <row r="93" spans="1:17" ht="13.5" thickBot="1" x14ac:dyDescent="0.25">
      <c r="A93" s="517" t="s">
        <v>894</v>
      </c>
      <c r="B93" s="519" t="s">
        <v>1926</v>
      </c>
      <c r="C93" s="519" t="s">
        <v>1926</v>
      </c>
      <c r="D93" s="718" t="s">
        <v>1927</v>
      </c>
      <c r="E93" s="718" t="s">
        <v>1928</v>
      </c>
      <c r="F93" s="718" t="s">
        <v>1929</v>
      </c>
      <c r="G93" s="718" t="s">
        <v>1930</v>
      </c>
      <c r="H93" s="718" t="s">
        <v>1931</v>
      </c>
      <c r="J93" s="517" t="s">
        <v>894</v>
      </c>
      <c r="K93" s="517" t="s">
        <v>1803</v>
      </c>
      <c r="L93" s="517" t="s">
        <v>1803</v>
      </c>
      <c r="M93" s="718" t="s">
        <v>1927</v>
      </c>
      <c r="N93" s="718" t="s">
        <v>1928</v>
      </c>
      <c r="O93" s="718" t="s">
        <v>1929</v>
      </c>
      <c r="P93" s="718" t="s">
        <v>1930</v>
      </c>
      <c r="Q93" s="718" t="s">
        <v>1931</v>
      </c>
    </row>
    <row r="94" spans="1:17" ht="13.5" thickTop="1" x14ac:dyDescent="0.2">
      <c r="A94" s="722">
        <v>0.5</v>
      </c>
      <c r="B94" s="753">
        <v>3.75</v>
      </c>
      <c r="C94" s="754">
        <v>0.5625</v>
      </c>
      <c r="D94" s="754">
        <v>2.0625</v>
      </c>
      <c r="E94" s="754">
        <v>0.875</v>
      </c>
      <c r="F94" s="754">
        <v>0.875</v>
      </c>
      <c r="G94" s="754">
        <v>2.625</v>
      </c>
      <c r="H94" s="756" t="s">
        <v>1932</v>
      </c>
      <c r="J94" s="727">
        <f t="shared" ref="J94:P109" si="6">A94*25.4</f>
        <v>12.7</v>
      </c>
      <c r="K94" s="757">
        <f t="shared" si="6"/>
        <v>95.25</v>
      </c>
      <c r="L94" s="757">
        <f t="shared" si="6"/>
        <v>14.2875</v>
      </c>
      <c r="M94" s="757">
        <f t="shared" si="6"/>
        <v>52.387499999999996</v>
      </c>
      <c r="N94" s="757">
        <f t="shared" si="6"/>
        <v>22.224999999999998</v>
      </c>
      <c r="O94" s="757">
        <f t="shared" si="6"/>
        <v>22.224999999999998</v>
      </c>
      <c r="P94" s="757">
        <f t="shared" si="6"/>
        <v>66.674999999999997</v>
      </c>
      <c r="Q94" s="756" t="s">
        <v>1933</v>
      </c>
    </row>
    <row r="95" spans="1:17" x14ac:dyDescent="0.2">
      <c r="A95" s="729">
        <v>0.75</v>
      </c>
      <c r="B95" s="758">
        <v>4.625</v>
      </c>
      <c r="C95" s="758">
        <v>0.625</v>
      </c>
      <c r="D95" s="758">
        <v>2.25</v>
      </c>
      <c r="E95" s="758">
        <v>1</v>
      </c>
      <c r="F95" s="759">
        <v>1</v>
      </c>
      <c r="G95" s="759">
        <v>6.25</v>
      </c>
      <c r="H95" s="760" t="s">
        <v>1952</v>
      </c>
      <c r="J95" s="733">
        <f t="shared" si="6"/>
        <v>19.049999999999997</v>
      </c>
      <c r="K95" s="761">
        <f t="shared" si="6"/>
        <v>117.47499999999999</v>
      </c>
      <c r="L95" s="761">
        <f t="shared" si="6"/>
        <v>15.875</v>
      </c>
      <c r="M95" s="761">
        <f t="shared" si="6"/>
        <v>57.15</v>
      </c>
      <c r="N95" s="761">
        <f t="shared" si="6"/>
        <v>25.4</v>
      </c>
      <c r="O95" s="761">
        <f t="shared" si="6"/>
        <v>25.4</v>
      </c>
      <c r="P95" s="761">
        <f t="shared" si="6"/>
        <v>158.75</v>
      </c>
      <c r="Q95" s="760" t="s">
        <v>1953</v>
      </c>
    </row>
    <row r="96" spans="1:17" x14ac:dyDescent="0.2">
      <c r="A96" s="735">
        <v>1</v>
      </c>
      <c r="B96" s="758">
        <v>4.875</v>
      </c>
      <c r="C96" s="758">
        <v>0.6875</v>
      </c>
      <c r="D96" s="758">
        <v>2.4375</v>
      </c>
      <c r="E96" s="759">
        <v>1.0625</v>
      </c>
      <c r="F96" s="759">
        <v>1.0625</v>
      </c>
      <c r="G96" s="759">
        <v>3.5</v>
      </c>
      <c r="H96" s="760" t="s">
        <v>1952</v>
      </c>
      <c r="J96" s="733">
        <f t="shared" si="6"/>
        <v>25.4</v>
      </c>
      <c r="K96" s="761">
        <f t="shared" si="6"/>
        <v>123.82499999999999</v>
      </c>
      <c r="L96" s="761">
        <f t="shared" si="6"/>
        <v>17.462499999999999</v>
      </c>
      <c r="M96" s="761">
        <f t="shared" si="6"/>
        <v>61.912499999999994</v>
      </c>
      <c r="N96" s="761">
        <f t="shared" si="6"/>
        <v>26.987499999999997</v>
      </c>
      <c r="O96" s="761">
        <f t="shared" si="6"/>
        <v>26.987499999999997</v>
      </c>
      <c r="P96" s="761">
        <f t="shared" si="6"/>
        <v>88.899999999999991</v>
      </c>
      <c r="Q96" s="760" t="s">
        <v>1953</v>
      </c>
    </row>
    <row r="97" spans="1:17" x14ac:dyDescent="0.2">
      <c r="A97" s="736">
        <v>1.25</v>
      </c>
      <c r="B97" s="758">
        <v>5.25</v>
      </c>
      <c r="C97" s="758">
        <v>0.8125</v>
      </c>
      <c r="D97" s="758">
        <v>2.625</v>
      </c>
      <c r="E97" s="759">
        <v>1.125</v>
      </c>
      <c r="F97" s="759">
        <v>1.125</v>
      </c>
      <c r="G97" s="759">
        <v>3.875</v>
      </c>
      <c r="H97" s="760" t="s">
        <v>1952</v>
      </c>
      <c r="J97" s="733">
        <f t="shared" si="6"/>
        <v>31.75</v>
      </c>
      <c r="K97" s="763">
        <f t="shared" si="6"/>
        <v>133.35</v>
      </c>
      <c r="L97" s="761">
        <f t="shared" si="6"/>
        <v>20.637499999999999</v>
      </c>
      <c r="M97" s="761">
        <f t="shared" si="6"/>
        <v>66.674999999999997</v>
      </c>
      <c r="N97" s="761">
        <f t="shared" si="6"/>
        <v>28.574999999999999</v>
      </c>
      <c r="O97" s="761">
        <f t="shared" si="6"/>
        <v>28.574999999999999</v>
      </c>
      <c r="P97" s="761">
        <f t="shared" si="6"/>
        <v>98.424999999999997</v>
      </c>
      <c r="Q97" s="760" t="s">
        <v>1953</v>
      </c>
    </row>
    <row r="98" spans="1:17" ht="13.5" thickBot="1" x14ac:dyDescent="0.25">
      <c r="A98" s="737">
        <v>1.5</v>
      </c>
      <c r="B98" s="766">
        <v>6.125</v>
      </c>
      <c r="C98" s="765">
        <v>0.875</v>
      </c>
      <c r="D98" s="765">
        <v>2.75</v>
      </c>
      <c r="E98" s="766">
        <v>1.25</v>
      </c>
      <c r="F98" s="766">
        <v>1.25</v>
      </c>
      <c r="G98" s="766">
        <v>4.5</v>
      </c>
      <c r="H98" s="767" t="s">
        <v>1954</v>
      </c>
      <c r="J98" s="742">
        <f t="shared" si="6"/>
        <v>38.099999999999994</v>
      </c>
      <c r="K98" s="768">
        <f t="shared" si="6"/>
        <v>155.57499999999999</v>
      </c>
      <c r="L98" s="768">
        <f t="shared" si="6"/>
        <v>22.224999999999998</v>
      </c>
      <c r="M98" s="768">
        <f t="shared" si="6"/>
        <v>69.849999999999994</v>
      </c>
      <c r="N98" s="768">
        <f t="shared" si="6"/>
        <v>31.75</v>
      </c>
      <c r="O98" s="768">
        <f t="shared" si="6"/>
        <v>31.75</v>
      </c>
      <c r="P98" s="768">
        <f t="shared" si="6"/>
        <v>114.3</v>
      </c>
      <c r="Q98" s="767" t="s">
        <v>1955</v>
      </c>
    </row>
    <row r="99" spans="1:17" ht="13.5" thickTop="1" x14ac:dyDescent="0.2">
      <c r="A99" s="743">
        <v>2</v>
      </c>
      <c r="B99" s="772">
        <v>6.5</v>
      </c>
      <c r="C99" s="770">
        <v>1</v>
      </c>
      <c r="D99" s="770">
        <v>2.875</v>
      </c>
      <c r="E99" s="772">
        <v>1.4375</v>
      </c>
      <c r="F99" s="772">
        <v>1.4375</v>
      </c>
      <c r="G99" s="772">
        <v>5</v>
      </c>
      <c r="H99" s="773" t="s">
        <v>1936</v>
      </c>
      <c r="J99" s="727">
        <f t="shared" si="6"/>
        <v>50.8</v>
      </c>
      <c r="K99" s="757">
        <f t="shared" si="6"/>
        <v>165.1</v>
      </c>
      <c r="L99" s="757">
        <f t="shared" si="6"/>
        <v>25.4</v>
      </c>
      <c r="M99" s="757">
        <f t="shared" si="6"/>
        <v>73.024999999999991</v>
      </c>
      <c r="N99" s="757">
        <f t="shared" si="6"/>
        <v>36.512499999999996</v>
      </c>
      <c r="O99" s="757">
        <f t="shared" si="6"/>
        <v>36.512499999999996</v>
      </c>
      <c r="P99" s="757">
        <f t="shared" si="6"/>
        <v>127</v>
      </c>
      <c r="Q99" s="773" t="s">
        <v>1937</v>
      </c>
    </row>
    <row r="100" spans="1:17" x14ac:dyDescent="0.2">
      <c r="A100" s="736">
        <v>2.5</v>
      </c>
      <c r="B100" s="759">
        <v>7.5</v>
      </c>
      <c r="C100" s="758">
        <v>1.125</v>
      </c>
      <c r="D100" s="758">
        <v>3.125</v>
      </c>
      <c r="E100" s="759">
        <v>1.625</v>
      </c>
      <c r="F100" s="759">
        <v>1.625</v>
      </c>
      <c r="G100" s="759">
        <v>5.875</v>
      </c>
      <c r="H100" s="773" t="s">
        <v>1938</v>
      </c>
      <c r="J100" s="733">
        <f t="shared" si="6"/>
        <v>63.5</v>
      </c>
      <c r="K100" s="761">
        <f>B100*25.4</f>
        <v>190.5</v>
      </c>
      <c r="L100" s="761">
        <f t="shared" si="6"/>
        <v>28.574999999999999</v>
      </c>
      <c r="M100" s="761">
        <f t="shared" si="6"/>
        <v>79.375</v>
      </c>
      <c r="N100" s="761">
        <f t="shared" si="6"/>
        <v>41.274999999999999</v>
      </c>
      <c r="O100" s="761">
        <f t="shared" si="6"/>
        <v>41.274999999999999</v>
      </c>
      <c r="P100" s="761">
        <f t="shared" si="6"/>
        <v>149.22499999999999</v>
      </c>
      <c r="Q100" s="773" t="s">
        <v>1939</v>
      </c>
    </row>
    <row r="101" spans="1:17" x14ac:dyDescent="0.2">
      <c r="A101" s="735">
        <v>3</v>
      </c>
      <c r="B101" s="758">
        <v>8.25</v>
      </c>
      <c r="C101" s="758">
        <v>1.25</v>
      </c>
      <c r="D101" s="758">
        <v>3.25</v>
      </c>
      <c r="E101" s="759">
        <v>1.8125</v>
      </c>
      <c r="F101" s="759">
        <v>1.8125</v>
      </c>
      <c r="G101" s="759">
        <v>6.625</v>
      </c>
      <c r="H101" s="773" t="s">
        <v>1938</v>
      </c>
      <c r="J101" s="733">
        <f t="shared" si="6"/>
        <v>76.199999999999989</v>
      </c>
      <c r="K101" s="761">
        <f>B101*25.4</f>
        <v>209.54999999999998</v>
      </c>
      <c r="L101" s="761">
        <f t="shared" si="6"/>
        <v>31.75</v>
      </c>
      <c r="M101" s="761">
        <f t="shared" si="6"/>
        <v>82.55</v>
      </c>
      <c r="N101" s="761">
        <f t="shared" si="6"/>
        <v>46.037499999999994</v>
      </c>
      <c r="O101" s="761">
        <f t="shared" si="6"/>
        <v>46.037499999999994</v>
      </c>
      <c r="P101" s="761">
        <f t="shared" si="6"/>
        <v>168.27499999999998</v>
      </c>
      <c r="Q101" s="773" t="s">
        <v>1939</v>
      </c>
    </row>
    <row r="102" spans="1:17" x14ac:dyDescent="0.2">
      <c r="A102" s="736">
        <v>3.5</v>
      </c>
      <c r="B102" s="758">
        <v>9</v>
      </c>
      <c r="C102" s="758">
        <v>1.375</v>
      </c>
      <c r="D102" s="758">
        <v>3.375</v>
      </c>
      <c r="E102" s="759">
        <v>1.9375</v>
      </c>
      <c r="F102" s="759">
        <v>1.9375</v>
      </c>
      <c r="G102" s="759">
        <v>7.25</v>
      </c>
      <c r="H102" s="773" t="s">
        <v>1962</v>
      </c>
      <c r="J102" s="733">
        <f t="shared" si="6"/>
        <v>88.899999999999991</v>
      </c>
      <c r="K102" s="763">
        <f>B102*25.4</f>
        <v>228.6</v>
      </c>
      <c r="L102" s="761">
        <f t="shared" si="6"/>
        <v>34.924999999999997</v>
      </c>
      <c r="M102" s="761">
        <f t="shared" si="6"/>
        <v>85.724999999999994</v>
      </c>
      <c r="N102" s="761">
        <f t="shared" si="6"/>
        <v>49.212499999999999</v>
      </c>
      <c r="O102" s="761">
        <f t="shared" si="6"/>
        <v>49.212499999999999</v>
      </c>
      <c r="P102" s="761">
        <f t="shared" si="6"/>
        <v>184.14999999999998</v>
      </c>
      <c r="Q102" s="773" t="s">
        <v>1963</v>
      </c>
    </row>
    <row r="103" spans="1:17" ht="13.5" thickBot="1" x14ac:dyDescent="0.25">
      <c r="A103" s="744">
        <v>4</v>
      </c>
      <c r="B103" s="766">
        <v>10.75</v>
      </c>
      <c r="C103" s="765">
        <v>1.5</v>
      </c>
      <c r="D103" s="766">
        <v>4</v>
      </c>
      <c r="E103" s="766">
        <v>2.125</v>
      </c>
      <c r="F103" s="766">
        <v>2.125</v>
      </c>
      <c r="G103" s="766">
        <v>8.5</v>
      </c>
      <c r="H103" s="777" t="s">
        <v>1962</v>
      </c>
      <c r="J103" s="742">
        <f t="shared" si="6"/>
        <v>101.6</v>
      </c>
      <c r="K103" s="768">
        <f t="shared" si="6"/>
        <v>273.05</v>
      </c>
      <c r="L103" s="768">
        <f t="shared" si="6"/>
        <v>38.099999999999994</v>
      </c>
      <c r="M103" s="768">
        <f t="shared" si="6"/>
        <v>101.6</v>
      </c>
      <c r="N103" s="768">
        <f t="shared" si="6"/>
        <v>53.974999999999994</v>
      </c>
      <c r="O103" s="768">
        <f t="shared" si="6"/>
        <v>53.974999999999994</v>
      </c>
      <c r="P103" s="768">
        <f t="shared" si="6"/>
        <v>215.89999999999998</v>
      </c>
      <c r="Q103" s="777" t="s">
        <v>1963</v>
      </c>
    </row>
    <row r="104" spans="1:17" ht="13.5" thickTop="1" x14ac:dyDescent="0.2">
      <c r="A104" s="743">
        <v>5</v>
      </c>
      <c r="B104" s="772">
        <v>13</v>
      </c>
      <c r="C104" s="770">
        <v>1.75</v>
      </c>
      <c r="D104" s="770">
        <v>4.5</v>
      </c>
      <c r="E104" s="772">
        <v>2.375</v>
      </c>
      <c r="F104" s="772">
        <v>2.375</v>
      </c>
      <c r="G104" s="772">
        <v>10.5</v>
      </c>
      <c r="H104" s="773" t="s">
        <v>1972</v>
      </c>
      <c r="J104" s="727">
        <f>A104*25.4</f>
        <v>127</v>
      </c>
      <c r="K104" s="757">
        <f>B104*25.4</f>
        <v>330.2</v>
      </c>
      <c r="L104" s="757">
        <f t="shared" si="6"/>
        <v>44.449999999999996</v>
      </c>
      <c r="M104" s="757">
        <f t="shared" si="6"/>
        <v>114.3</v>
      </c>
      <c r="N104" s="757">
        <f t="shared" si="6"/>
        <v>60.324999999999996</v>
      </c>
      <c r="O104" s="757">
        <f t="shared" si="6"/>
        <v>60.324999999999996</v>
      </c>
      <c r="P104" s="757">
        <f t="shared" si="6"/>
        <v>266.7</v>
      </c>
      <c r="Q104" s="773" t="s">
        <v>1973</v>
      </c>
    </row>
    <row r="105" spans="1:17" x14ac:dyDescent="0.2">
      <c r="A105" s="735">
        <v>6</v>
      </c>
      <c r="B105" s="759">
        <v>14</v>
      </c>
      <c r="C105" s="759">
        <v>1.875</v>
      </c>
      <c r="D105" s="758">
        <v>4.625</v>
      </c>
      <c r="E105" s="759">
        <v>2.625</v>
      </c>
      <c r="F105" s="759">
        <v>2.625</v>
      </c>
      <c r="G105" s="759">
        <v>11.5</v>
      </c>
      <c r="H105" s="775" t="s">
        <v>1942</v>
      </c>
      <c r="J105" s="733">
        <f t="shared" ref="J105:P113" si="7">A105*25.4</f>
        <v>152.39999999999998</v>
      </c>
      <c r="K105" s="763">
        <f t="shared" si="7"/>
        <v>355.59999999999997</v>
      </c>
      <c r="L105" s="761">
        <f t="shared" si="6"/>
        <v>47.625</v>
      </c>
      <c r="M105" s="761">
        <f t="shared" si="6"/>
        <v>117.47499999999999</v>
      </c>
      <c r="N105" s="761">
        <f t="shared" si="6"/>
        <v>66.674999999999997</v>
      </c>
      <c r="O105" s="761">
        <f t="shared" si="6"/>
        <v>66.674999999999997</v>
      </c>
      <c r="P105" s="761">
        <f t="shared" si="6"/>
        <v>292.09999999999997</v>
      </c>
      <c r="Q105" s="775" t="s">
        <v>1943</v>
      </c>
    </row>
    <row r="106" spans="1:17" x14ac:dyDescent="0.2">
      <c r="A106" s="735">
        <v>8</v>
      </c>
      <c r="B106" s="758">
        <v>16.5</v>
      </c>
      <c r="C106" s="758">
        <v>2.1875</v>
      </c>
      <c r="D106" s="759">
        <v>5.25</v>
      </c>
      <c r="E106" s="759">
        <v>3</v>
      </c>
      <c r="F106" s="759">
        <v>3</v>
      </c>
      <c r="G106" s="759">
        <v>13.75</v>
      </c>
      <c r="H106" s="779" t="s">
        <v>1974</v>
      </c>
      <c r="J106" s="733">
        <f t="shared" si="7"/>
        <v>203.2</v>
      </c>
      <c r="K106" s="763">
        <f t="shared" si="7"/>
        <v>419.09999999999997</v>
      </c>
      <c r="L106" s="761">
        <f t="shared" si="6"/>
        <v>55.5625</v>
      </c>
      <c r="M106" s="761">
        <f t="shared" si="6"/>
        <v>133.35</v>
      </c>
      <c r="N106" s="761">
        <f t="shared" si="6"/>
        <v>76.199999999999989</v>
      </c>
      <c r="O106" s="761">
        <f t="shared" si="6"/>
        <v>76.199999999999989</v>
      </c>
      <c r="P106" s="761">
        <f t="shared" si="6"/>
        <v>349.25</v>
      </c>
      <c r="Q106" s="779" t="s">
        <v>1975</v>
      </c>
    </row>
    <row r="107" spans="1:17" x14ac:dyDescent="0.2">
      <c r="A107" s="735">
        <v>10</v>
      </c>
      <c r="B107" s="759">
        <v>20</v>
      </c>
      <c r="C107" s="758">
        <v>2.5</v>
      </c>
      <c r="D107" s="759">
        <v>6</v>
      </c>
      <c r="E107" s="759">
        <v>3.375</v>
      </c>
      <c r="F107" s="759">
        <v>4.375</v>
      </c>
      <c r="G107" s="759">
        <v>17</v>
      </c>
      <c r="H107" s="779" t="s">
        <v>1964</v>
      </c>
      <c r="J107" s="733">
        <f t="shared" si="7"/>
        <v>254</v>
      </c>
      <c r="K107" s="763">
        <f t="shared" si="7"/>
        <v>508</v>
      </c>
      <c r="L107" s="761">
        <f t="shared" si="6"/>
        <v>63.5</v>
      </c>
      <c r="M107" s="761">
        <f t="shared" si="6"/>
        <v>152.39999999999998</v>
      </c>
      <c r="N107" s="761">
        <f t="shared" si="6"/>
        <v>85.724999999999994</v>
      </c>
      <c r="O107" s="761">
        <f t="shared" si="6"/>
        <v>111.125</v>
      </c>
      <c r="P107" s="761">
        <f t="shared" si="6"/>
        <v>431.79999999999995</v>
      </c>
      <c r="Q107" s="779" t="s">
        <v>1965</v>
      </c>
    </row>
    <row r="108" spans="1:17" ht="13.5" thickBot="1" x14ac:dyDescent="0.25">
      <c r="A108" s="744">
        <v>12</v>
      </c>
      <c r="B108" s="766">
        <v>22</v>
      </c>
      <c r="C108" s="765">
        <v>2.625</v>
      </c>
      <c r="D108" s="765">
        <v>6.125</v>
      </c>
      <c r="E108" s="766">
        <v>3.625</v>
      </c>
      <c r="F108" s="766">
        <v>4.625</v>
      </c>
      <c r="G108" s="766">
        <v>19.25</v>
      </c>
      <c r="H108" s="777" t="s">
        <v>1950</v>
      </c>
      <c r="J108" s="742">
        <f t="shared" si="7"/>
        <v>304.79999999999995</v>
      </c>
      <c r="K108" s="768">
        <f t="shared" si="7"/>
        <v>558.79999999999995</v>
      </c>
      <c r="L108" s="768">
        <f t="shared" si="6"/>
        <v>66.674999999999997</v>
      </c>
      <c r="M108" s="768">
        <f t="shared" si="6"/>
        <v>155.57499999999999</v>
      </c>
      <c r="N108" s="768">
        <f t="shared" si="6"/>
        <v>92.074999999999989</v>
      </c>
      <c r="O108" s="768">
        <f t="shared" si="6"/>
        <v>117.47499999999999</v>
      </c>
      <c r="P108" s="768">
        <f t="shared" si="6"/>
        <v>488.95</v>
      </c>
      <c r="Q108" s="777" t="s">
        <v>1951</v>
      </c>
    </row>
    <row r="109" spans="1:17" ht="13.5" thickTop="1" x14ac:dyDescent="0.2">
      <c r="A109" s="743">
        <v>14</v>
      </c>
      <c r="B109" s="772">
        <v>23.75</v>
      </c>
      <c r="C109" s="770">
        <v>2.75</v>
      </c>
      <c r="D109" s="772">
        <v>6.5</v>
      </c>
      <c r="E109" s="772">
        <v>3.6875</v>
      </c>
      <c r="F109" s="772">
        <v>5</v>
      </c>
      <c r="G109" s="772">
        <v>20.75</v>
      </c>
      <c r="H109" s="773" t="s">
        <v>1966</v>
      </c>
      <c r="J109" s="727">
        <f t="shared" si="7"/>
        <v>355.59999999999997</v>
      </c>
      <c r="K109" s="757">
        <f t="shared" si="7"/>
        <v>603.25</v>
      </c>
      <c r="L109" s="757">
        <f t="shared" si="6"/>
        <v>69.849999999999994</v>
      </c>
      <c r="M109" s="757">
        <f t="shared" si="6"/>
        <v>165.1</v>
      </c>
      <c r="N109" s="757">
        <f t="shared" si="6"/>
        <v>93.662499999999994</v>
      </c>
      <c r="O109" s="757">
        <f t="shared" si="6"/>
        <v>127</v>
      </c>
      <c r="P109" s="757">
        <f t="shared" si="6"/>
        <v>527.04999999999995</v>
      </c>
      <c r="Q109" s="773" t="s">
        <v>1967</v>
      </c>
    </row>
    <row r="110" spans="1:17" x14ac:dyDescent="0.2">
      <c r="A110" s="735">
        <v>16</v>
      </c>
      <c r="B110" s="758">
        <v>27</v>
      </c>
      <c r="C110" s="758">
        <v>3</v>
      </c>
      <c r="D110" s="759">
        <v>7</v>
      </c>
      <c r="E110" s="759">
        <v>4.1875</v>
      </c>
      <c r="F110" s="759">
        <v>5.5</v>
      </c>
      <c r="G110" s="759">
        <v>23.75</v>
      </c>
      <c r="H110" s="775" t="s">
        <v>1976</v>
      </c>
      <c r="J110" s="733">
        <f t="shared" si="7"/>
        <v>406.4</v>
      </c>
      <c r="K110" s="763">
        <f t="shared" si="7"/>
        <v>685.8</v>
      </c>
      <c r="L110" s="761">
        <f t="shared" si="7"/>
        <v>76.199999999999989</v>
      </c>
      <c r="M110" s="761">
        <f t="shared" si="7"/>
        <v>177.79999999999998</v>
      </c>
      <c r="N110" s="761">
        <f t="shared" si="7"/>
        <v>106.3625</v>
      </c>
      <c r="O110" s="761">
        <f t="shared" si="7"/>
        <v>139.69999999999999</v>
      </c>
      <c r="P110" s="761">
        <f t="shared" si="7"/>
        <v>603.25</v>
      </c>
      <c r="Q110" s="775" t="s">
        <v>1977</v>
      </c>
    </row>
    <row r="111" spans="1:17" x14ac:dyDescent="0.2">
      <c r="A111" s="735">
        <v>18</v>
      </c>
      <c r="B111" s="759">
        <v>29.25</v>
      </c>
      <c r="C111" s="758">
        <v>3.25</v>
      </c>
      <c r="D111" s="758">
        <v>7.25</v>
      </c>
      <c r="E111" s="759">
        <v>4.625</v>
      </c>
      <c r="F111" s="759">
        <v>6</v>
      </c>
      <c r="G111" s="759">
        <v>25.75</v>
      </c>
      <c r="H111" s="775" t="s">
        <v>1978</v>
      </c>
      <c r="J111" s="733">
        <f t="shared" si="7"/>
        <v>457.2</v>
      </c>
      <c r="K111" s="763">
        <f t="shared" si="7"/>
        <v>742.94999999999993</v>
      </c>
      <c r="L111" s="761">
        <f t="shared" si="7"/>
        <v>82.55</v>
      </c>
      <c r="M111" s="761">
        <f t="shared" si="7"/>
        <v>184.14999999999998</v>
      </c>
      <c r="N111" s="761">
        <f t="shared" si="7"/>
        <v>117.47499999999999</v>
      </c>
      <c r="O111" s="761">
        <f t="shared" si="7"/>
        <v>152.39999999999998</v>
      </c>
      <c r="P111" s="761">
        <f t="shared" si="7"/>
        <v>654.04999999999995</v>
      </c>
      <c r="Q111" s="775" t="s">
        <v>1979</v>
      </c>
    </row>
    <row r="112" spans="1:17" x14ac:dyDescent="0.2">
      <c r="A112" s="735">
        <v>20</v>
      </c>
      <c r="B112" s="758">
        <v>32</v>
      </c>
      <c r="C112" s="758">
        <v>3.5</v>
      </c>
      <c r="D112" s="758">
        <v>7.5</v>
      </c>
      <c r="E112" s="759">
        <v>5</v>
      </c>
      <c r="F112" s="759">
        <v>6.5</v>
      </c>
      <c r="G112" s="759">
        <v>28.5</v>
      </c>
      <c r="H112" s="775" t="s">
        <v>1980</v>
      </c>
      <c r="J112" s="733">
        <f t="shared" si="7"/>
        <v>508</v>
      </c>
      <c r="K112" s="763">
        <f t="shared" si="7"/>
        <v>812.8</v>
      </c>
      <c r="L112" s="761">
        <f t="shared" si="7"/>
        <v>88.899999999999991</v>
      </c>
      <c r="M112" s="761">
        <f t="shared" si="7"/>
        <v>190.5</v>
      </c>
      <c r="N112" s="761">
        <f t="shared" si="7"/>
        <v>127</v>
      </c>
      <c r="O112" s="761">
        <f t="shared" si="7"/>
        <v>165.1</v>
      </c>
      <c r="P112" s="761">
        <f t="shared" si="7"/>
        <v>723.9</v>
      </c>
      <c r="Q112" s="775" t="s">
        <v>1981</v>
      </c>
    </row>
    <row r="113" spans="1:17" ht="13.5" thickBot="1" x14ac:dyDescent="0.25">
      <c r="A113" s="744">
        <v>24</v>
      </c>
      <c r="B113" s="766">
        <v>37</v>
      </c>
      <c r="C113" s="765">
        <v>4</v>
      </c>
      <c r="D113" s="766">
        <v>8</v>
      </c>
      <c r="E113" s="766">
        <v>5.5</v>
      </c>
      <c r="F113" s="766">
        <v>7.25</v>
      </c>
      <c r="G113" s="766">
        <v>33</v>
      </c>
      <c r="H113" s="777" t="s">
        <v>1982</v>
      </c>
      <c r="J113" s="742">
        <f t="shared" si="7"/>
        <v>609.59999999999991</v>
      </c>
      <c r="K113" s="768">
        <f t="shared" si="7"/>
        <v>939.8</v>
      </c>
      <c r="L113" s="768">
        <f t="shared" si="7"/>
        <v>101.6</v>
      </c>
      <c r="M113" s="768">
        <f t="shared" si="7"/>
        <v>203.2</v>
      </c>
      <c r="N113" s="768">
        <f t="shared" si="7"/>
        <v>139.69999999999999</v>
      </c>
      <c r="O113" s="768">
        <f t="shared" si="7"/>
        <v>184.14999999999998</v>
      </c>
      <c r="P113" s="768">
        <f t="shared" si="7"/>
        <v>838.19999999999993</v>
      </c>
      <c r="Q113" s="777" t="s">
        <v>1983</v>
      </c>
    </row>
    <row r="114" spans="1:17" ht="13.5" thickTop="1" x14ac:dyDescent="0.2"/>
    <row r="115" spans="1:17" ht="13.5" thickBot="1" x14ac:dyDescent="0.25">
      <c r="A115" s="192" t="s">
        <v>28</v>
      </c>
      <c r="J115" s="192" t="s">
        <v>27</v>
      </c>
    </row>
    <row r="116" spans="1:17" ht="14.25" thickTop="1" thickBot="1" x14ac:dyDescent="0.25">
      <c r="A116" s="624"/>
      <c r="B116" s="749"/>
      <c r="C116" s="750"/>
      <c r="D116" s="784" t="s">
        <v>21</v>
      </c>
      <c r="E116" s="750"/>
      <c r="F116" s="750"/>
      <c r="G116" s="750"/>
      <c r="H116" s="751"/>
      <c r="J116" s="624"/>
      <c r="K116" s="749"/>
      <c r="L116" s="750"/>
      <c r="M116" s="784" t="s">
        <v>22</v>
      </c>
      <c r="N116" s="750"/>
      <c r="O116" s="750"/>
      <c r="P116" s="750"/>
      <c r="Q116" s="751"/>
    </row>
    <row r="117" spans="1:17" ht="17.25" thickTop="1" thickBot="1" x14ac:dyDescent="0.3">
      <c r="A117" s="510" t="s">
        <v>1867</v>
      </c>
      <c r="B117" s="624"/>
      <c r="C117" s="624"/>
      <c r="D117" s="752" t="s">
        <v>25</v>
      </c>
      <c r="E117" s="752"/>
      <c r="F117" s="750"/>
      <c r="G117" s="751"/>
      <c r="H117" s="721" t="s">
        <v>1920</v>
      </c>
      <c r="J117" s="510" t="s">
        <v>1867</v>
      </c>
      <c r="K117" s="624"/>
      <c r="L117" s="624"/>
      <c r="M117" s="752" t="s">
        <v>25</v>
      </c>
      <c r="N117" s="752"/>
      <c r="O117" s="750"/>
      <c r="P117" s="751"/>
      <c r="Q117" s="721" t="s">
        <v>1920</v>
      </c>
    </row>
    <row r="118" spans="1:17" ht="18.75" thickTop="1" x14ac:dyDescent="0.25">
      <c r="A118" s="510" t="s">
        <v>1556</v>
      </c>
      <c r="B118" s="626" t="s">
        <v>1921</v>
      </c>
      <c r="C118" s="626" t="s">
        <v>1779</v>
      </c>
      <c r="D118" s="721" t="s">
        <v>1922</v>
      </c>
      <c r="E118" s="721" t="s">
        <v>1923</v>
      </c>
      <c r="F118" s="721" t="s">
        <v>1924</v>
      </c>
      <c r="G118" s="721" t="s">
        <v>1101</v>
      </c>
      <c r="H118" s="513" t="s">
        <v>1925</v>
      </c>
      <c r="J118" s="510" t="s">
        <v>1556</v>
      </c>
      <c r="K118" s="626" t="s">
        <v>1921</v>
      </c>
      <c r="L118" s="626" t="s">
        <v>1779</v>
      </c>
      <c r="M118" s="721" t="s">
        <v>1922</v>
      </c>
      <c r="N118" s="721" t="s">
        <v>1923</v>
      </c>
      <c r="O118" s="721" t="s">
        <v>1924</v>
      </c>
      <c r="P118" s="721" t="s">
        <v>1101</v>
      </c>
      <c r="Q118" s="513" t="s">
        <v>1925</v>
      </c>
    </row>
    <row r="119" spans="1:17" ht="13.5" thickBot="1" x14ac:dyDescent="0.25">
      <c r="A119" s="517" t="s">
        <v>894</v>
      </c>
      <c r="B119" s="519" t="s">
        <v>1926</v>
      </c>
      <c r="C119" s="519" t="s">
        <v>1926</v>
      </c>
      <c r="D119" s="718" t="s">
        <v>1927</v>
      </c>
      <c r="E119" s="718" t="s">
        <v>1928</v>
      </c>
      <c r="F119" s="718" t="s">
        <v>1929</v>
      </c>
      <c r="G119" s="718" t="s">
        <v>1930</v>
      </c>
      <c r="H119" s="718" t="s">
        <v>1931</v>
      </c>
      <c r="J119" s="517" t="s">
        <v>894</v>
      </c>
      <c r="K119" s="517" t="s">
        <v>1803</v>
      </c>
      <c r="L119" s="517" t="s">
        <v>1803</v>
      </c>
      <c r="M119" s="718" t="s">
        <v>1927</v>
      </c>
      <c r="N119" s="718" t="s">
        <v>1928</v>
      </c>
      <c r="O119" s="718" t="s">
        <v>1929</v>
      </c>
      <c r="P119" s="718" t="s">
        <v>1930</v>
      </c>
      <c r="Q119" s="718" t="s">
        <v>1931</v>
      </c>
    </row>
    <row r="120" spans="1:17" ht="13.5" thickTop="1" x14ac:dyDescent="0.2">
      <c r="A120" s="722">
        <v>0.5</v>
      </c>
      <c r="B120" s="753">
        <v>4.75</v>
      </c>
      <c r="C120" s="754">
        <v>0.875</v>
      </c>
      <c r="D120" s="754">
        <v>2.375</v>
      </c>
      <c r="E120" s="754">
        <v>1.25</v>
      </c>
      <c r="F120" s="754">
        <v>1.25</v>
      </c>
      <c r="G120" s="754">
        <v>3.25</v>
      </c>
      <c r="H120" s="756" t="s">
        <v>1984</v>
      </c>
      <c r="J120" s="727">
        <f t="shared" ref="J120:P135" si="8">A120*25.4</f>
        <v>12.7</v>
      </c>
      <c r="K120" s="757">
        <f t="shared" si="8"/>
        <v>120.64999999999999</v>
      </c>
      <c r="L120" s="757">
        <f t="shared" si="8"/>
        <v>22.224999999999998</v>
      </c>
      <c r="M120" s="757">
        <f t="shared" si="8"/>
        <v>60.324999999999996</v>
      </c>
      <c r="N120" s="757">
        <f t="shared" si="8"/>
        <v>31.75</v>
      </c>
      <c r="O120" s="757">
        <f t="shared" si="8"/>
        <v>31.75</v>
      </c>
      <c r="P120" s="757">
        <f t="shared" si="8"/>
        <v>82.55</v>
      </c>
      <c r="Q120" s="756" t="s">
        <v>1985</v>
      </c>
    </row>
    <row r="121" spans="1:17" x14ac:dyDescent="0.2">
      <c r="A121" s="729">
        <v>0.75</v>
      </c>
      <c r="B121" s="758">
        <v>5.125</v>
      </c>
      <c r="C121" s="758">
        <v>1</v>
      </c>
      <c r="D121" s="758">
        <v>2.75</v>
      </c>
      <c r="E121" s="758">
        <v>1.375</v>
      </c>
      <c r="F121" s="759">
        <v>1.375</v>
      </c>
      <c r="G121" s="759">
        <v>3.5</v>
      </c>
      <c r="H121" s="760" t="s">
        <v>1984</v>
      </c>
      <c r="J121" s="733">
        <f t="shared" si="8"/>
        <v>19.049999999999997</v>
      </c>
      <c r="K121" s="761">
        <f t="shared" si="8"/>
        <v>130.17499999999998</v>
      </c>
      <c r="L121" s="761">
        <f t="shared" si="8"/>
        <v>25.4</v>
      </c>
      <c r="M121" s="761">
        <f t="shared" si="8"/>
        <v>69.849999999999994</v>
      </c>
      <c r="N121" s="761">
        <f t="shared" si="8"/>
        <v>34.924999999999997</v>
      </c>
      <c r="O121" s="761">
        <f t="shared" si="8"/>
        <v>34.924999999999997</v>
      </c>
      <c r="P121" s="761">
        <f t="shared" si="8"/>
        <v>88.899999999999991</v>
      </c>
      <c r="Q121" s="760" t="s">
        <v>1955</v>
      </c>
    </row>
    <row r="122" spans="1:17" x14ac:dyDescent="0.2">
      <c r="A122" s="735">
        <v>1</v>
      </c>
      <c r="B122" s="758">
        <v>5.875</v>
      </c>
      <c r="C122" s="758">
        <v>1.125</v>
      </c>
      <c r="D122" s="758">
        <v>2.875</v>
      </c>
      <c r="E122" s="759">
        <v>1.625</v>
      </c>
      <c r="F122" s="759">
        <v>1.625</v>
      </c>
      <c r="G122" s="759">
        <v>4</v>
      </c>
      <c r="H122" s="760" t="s">
        <v>1986</v>
      </c>
      <c r="J122" s="733">
        <f t="shared" si="8"/>
        <v>25.4</v>
      </c>
      <c r="K122" s="761">
        <f t="shared" si="8"/>
        <v>149.22499999999999</v>
      </c>
      <c r="L122" s="761">
        <f t="shared" si="8"/>
        <v>28.574999999999999</v>
      </c>
      <c r="M122" s="761">
        <f t="shared" si="8"/>
        <v>73.024999999999991</v>
      </c>
      <c r="N122" s="761">
        <f t="shared" si="8"/>
        <v>41.274999999999999</v>
      </c>
      <c r="O122" s="761">
        <f t="shared" si="8"/>
        <v>41.274999999999999</v>
      </c>
      <c r="P122" s="761">
        <f t="shared" si="8"/>
        <v>101.6</v>
      </c>
      <c r="Q122" s="760" t="s">
        <v>1987</v>
      </c>
    </row>
    <row r="123" spans="1:17" x14ac:dyDescent="0.2">
      <c r="A123" s="736">
        <v>1.25</v>
      </c>
      <c r="B123" s="758">
        <v>6.25</v>
      </c>
      <c r="C123" s="758">
        <v>1.125</v>
      </c>
      <c r="D123" s="758">
        <v>2.875</v>
      </c>
      <c r="E123" s="759">
        <v>1.625</v>
      </c>
      <c r="F123" s="759">
        <v>1.625</v>
      </c>
      <c r="G123" s="759">
        <v>4.375</v>
      </c>
      <c r="H123" s="760" t="s">
        <v>1986</v>
      </c>
      <c r="J123" s="733">
        <f t="shared" si="8"/>
        <v>31.75</v>
      </c>
      <c r="K123" s="763">
        <f t="shared" si="8"/>
        <v>158.75</v>
      </c>
      <c r="L123" s="761">
        <f t="shared" si="8"/>
        <v>28.574999999999999</v>
      </c>
      <c r="M123" s="761">
        <f t="shared" si="8"/>
        <v>73.024999999999991</v>
      </c>
      <c r="N123" s="761">
        <f t="shared" si="8"/>
        <v>41.274999999999999</v>
      </c>
      <c r="O123" s="761">
        <f t="shared" si="8"/>
        <v>41.274999999999999</v>
      </c>
      <c r="P123" s="761">
        <f t="shared" si="8"/>
        <v>111.125</v>
      </c>
      <c r="Q123" s="760" t="s">
        <v>1987</v>
      </c>
    </row>
    <row r="124" spans="1:17" ht="13.5" thickBot="1" x14ac:dyDescent="0.25">
      <c r="A124" s="737">
        <v>1.5</v>
      </c>
      <c r="B124" s="766">
        <v>7</v>
      </c>
      <c r="C124" s="765">
        <v>1.25</v>
      </c>
      <c r="D124" s="765">
        <v>3.25</v>
      </c>
      <c r="E124" s="766">
        <v>1.75</v>
      </c>
      <c r="F124" s="766">
        <v>1.75</v>
      </c>
      <c r="G124" s="766">
        <v>4.875</v>
      </c>
      <c r="H124" s="767" t="s">
        <v>1988</v>
      </c>
      <c r="J124" s="742">
        <f t="shared" si="8"/>
        <v>38.099999999999994</v>
      </c>
      <c r="K124" s="768">
        <f t="shared" si="8"/>
        <v>177.79999999999998</v>
      </c>
      <c r="L124" s="768">
        <f t="shared" si="8"/>
        <v>31.75</v>
      </c>
      <c r="M124" s="768">
        <f t="shared" si="8"/>
        <v>82.55</v>
      </c>
      <c r="N124" s="768">
        <f t="shared" si="8"/>
        <v>44.449999999999996</v>
      </c>
      <c r="O124" s="768">
        <f t="shared" si="8"/>
        <v>44.449999999999996</v>
      </c>
      <c r="P124" s="768">
        <f t="shared" si="8"/>
        <v>123.82499999999999</v>
      </c>
      <c r="Q124" s="767" t="s">
        <v>1989</v>
      </c>
    </row>
    <row r="125" spans="1:17" ht="13.5" thickTop="1" x14ac:dyDescent="0.2">
      <c r="A125" s="743">
        <v>2</v>
      </c>
      <c r="B125" s="772">
        <v>8.5</v>
      </c>
      <c r="C125" s="770">
        <v>1.5</v>
      </c>
      <c r="D125" s="770">
        <v>4</v>
      </c>
      <c r="E125" s="772">
        <v>2.25</v>
      </c>
      <c r="F125" s="772">
        <v>2.25</v>
      </c>
      <c r="G125" s="772">
        <v>6.5</v>
      </c>
      <c r="H125" s="773" t="s">
        <v>1962</v>
      </c>
      <c r="J125" s="727">
        <f t="shared" si="8"/>
        <v>50.8</v>
      </c>
      <c r="K125" s="757">
        <f t="shared" si="8"/>
        <v>215.89999999999998</v>
      </c>
      <c r="L125" s="757">
        <f t="shared" si="8"/>
        <v>38.099999999999994</v>
      </c>
      <c r="M125" s="757">
        <f t="shared" si="8"/>
        <v>101.6</v>
      </c>
      <c r="N125" s="757">
        <f t="shared" si="8"/>
        <v>57.15</v>
      </c>
      <c r="O125" s="757">
        <f t="shared" si="8"/>
        <v>57.15</v>
      </c>
      <c r="P125" s="757">
        <f t="shared" si="8"/>
        <v>165.1</v>
      </c>
      <c r="Q125" s="773" t="s">
        <v>1963</v>
      </c>
    </row>
    <row r="126" spans="1:17" x14ac:dyDescent="0.2">
      <c r="A126" s="736">
        <v>2.5</v>
      </c>
      <c r="B126" s="759">
        <v>9.625</v>
      </c>
      <c r="C126" s="758">
        <v>1.625</v>
      </c>
      <c r="D126" s="758">
        <v>4.125</v>
      </c>
      <c r="E126" s="759">
        <v>2.5</v>
      </c>
      <c r="F126" s="759">
        <v>2.5</v>
      </c>
      <c r="G126" s="759">
        <v>7.5</v>
      </c>
      <c r="H126" s="773" t="s">
        <v>1972</v>
      </c>
      <c r="J126" s="733">
        <f t="shared" si="8"/>
        <v>63.5</v>
      </c>
      <c r="K126" s="761">
        <f>B126*25.4</f>
        <v>244.47499999999999</v>
      </c>
      <c r="L126" s="761">
        <f t="shared" si="8"/>
        <v>41.274999999999999</v>
      </c>
      <c r="M126" s="761">
        <f t="shared" si="8"/>
        <v>104.77499999999999</v>
      </c>
      <c r="N126" s="761">
        <f t="shared" si="8"/>
        <v>63.5</v>
      </c>
      <c r="O126" s="761">
        <f t="shared" si="8"/>
        <v>63.5</v>
      </c>
      <c r="P126" s="761">
        <f t="shared" si="8"/>
        <v>190.5</v>
      </c>
      <c r="Q126" s="773" t="s">
        <v>1973</v>
      </c>
    </row>
    <row r="127" spans="1:17" x14ac:dyDescent="0.2">
      <c r="A127" s="735">
        <v>3</v>
      </c>
      <c r="B127" s="758">
        <v>9.5</v>
      </c>
      <c r="C127" s="758">
        <v>1.5</v>
      </c>
      <c r="D127" s="758">
        <v>4</v>
      </c>
      <c r="E127" s="759">
        <v>2.125</v>
      </c>
      <c r="F127" s="759">
        <v>2.125</v>
      </c>
      <c r="G127" s="759">
        <v>7.5</v>
      </c>
      <c r="H127" s="773" t="s">
        <v>1962</v>
      </c>
      <c r="J127" s="733">
        <f t="shared" si="8"/>
        <v>76.199999999999989</v>
      </c>
      <c r="K127" s="761">
        <f>B127*25.4</f>
        <v>241.29999999999998</v>
      </c>
      <c r="L127" s="761">
        <f t="shared" si="8"/>
        <v>38.099999999999994</v>
      </c>
      <c r="M127" s="761">
        <f t="shared" si="8"/>
        <v>101.6</v>
      </c>
      <c r="N127" s="761">
        <f t="shared" si="8"/>
        <v>53.974999999999994</v>
      </c>
      <c r="O127" s="761">
        <f t="shared" si="8"/>
        <v>53.974999999999994</v>
      </c>
      <c r="P127" s="761">
        <f t="shared" si="8"/>
        <v>190.5</v>
      </c>
      <c r="Q127" s="773" t="s">
        <v>1963</v>
      </c>
    </row>
    <row r="128" spans="1:17" x14ac:dyDescent="0.2">
      <c r="A128" s="736">
        <v>3.5</v>
      </c>
      <c r="B128" s="782"/>
      <c r="C128" s="782"/>
      <c r="D128" s="782"/>
      <c r="E128" s="782"/>
      <c r="F128" s="782"/>
      <c r="G128" s="782"/>
      <c r="H128" s="782"/>
      <c r="J128" s="733">
        <f t="shared" si="8"/>
        <v>88.899999999999991</v>
      </c>
      <c r="K128" s="782"/>
      <c r="L128" s="782"/>
      <c r="M128" s="782"/>
      <c r="N128" s="782"/>
      <c r="O128" s="782"/>
      <c r="P128" s="782"/>
      <c r="Q128" s="782"/>
    </row>
    <row r="129" spans="1:17" ht="13.5" thickBot="1" x14ac:dyDescent="0.25">
      <c r="A129" s="744">
        <v>4</v>
      </c>
      <c r="B129" s="766">
        <v>11.5</v>
      </c>
      <c r="C129" s="765">
        <v>1.75</v>
      </c>
      <c r="D129" s="766">
        <v>4.5</v>
      </c>
      <c r="E129" s="766">
        <v>2.75</v>
      </c>
      <c r="F129" s="766">
        <v>2.75</v>
      </c>
      <c r="G129" s="766">
        <v>9.25</v>
      </c>
      <c r="H129" s="777" t="s">
        <v>1990</v>
      </c>
      <c r="J129" s="742">
        <f t="shared" si="8"/>
        <v>101.6</v>
      </c>
      <c r="K129" s="768">
        <f t="shared" si="8"/>
        <v>292.09999999999997</v>
      </c>
      <c r="L129" s="768">
        <f t="shared" si="8"/>
        <v>44.449999999999996</v>
      </c>
      <c r="M129" s="768">
        <f t="shared" si="8"/>
        <v>114.3</v>
      </c>
      <c r="N129" s="768">
        <f t="shared" si="8"/>
        <v>69.849999999999994</v>
      </c>
      <c r="O129" s="768">
        <f t="shared" si="8"/>
        <v>69.849999999999994</v>
      </c>
      <c r="P129" s="768">
        <f t="shared" si="8"/>
        <v>234.95</v>
      </c>
      <c r="Q129" s="777" t="s">
        <v>1991</v>
      </c>
    </row>
    <row r="130" spans="1:17" ht="13.5" thickTop="1" x14ac:dyDescent="0.2">
      <c r="A130" s="743">
        <v>5</v>
      </c>
      <c r="B130" s="772">
        <v>13.75</v>
      </c>
      <c r="C130" s="770">
        <v>2</v>
      </c>
      <c r="D130" s="770">
        <v>5</v>
      </c>
      <c r="E130" s="772">
        <v>3.125</v>
      </c>
      <c r="F130" s="772">
        <v>3.125</v>
      </c>
      <c r="G130" s="772">
        <v>11</v>
      </c>
      <c r="H130" s="773" t="s">
        <v>1992</v>
      </c>
      <c r="J130" s="727">
        <f>A130*25.4</f>
        <v>127</v>
      </c>
      <c r="K130" s="757">
        <f>B130*25.4</f>
        <v>349.25</v>
      </c>
      <c r="L130" s="757">
        <f t="shared" si="8"/>
        <v>50.8</v>
      </c>
      <c r="M130" s="757">
        <f t="shared" si="8"/>
        <v>127</v>
      </c>
      <c r="N130" s="757">
        <f t="shared" si="8"/>
        <v>79.375</v>
      </c>
      <c r="O130" s="757">
        <f t="shared" si="8"/>
        <v>79.375</v>
      </c>
      <c r="P130" s="757">
        <f t="shared" si="8"/>
        <v>279.39999999999998</v>
      </c>
      <c r="Q130" s="773" t="s">
        <v>1993</v>
      </c>
    </row>
    <row r="131" spans="1:17" x14ac:dyDescent="0.2">
      <c r="A131" s="735">
        <v>6</v>
      </c>
      <c r="B131" s="759">
        <v>15</v>
      </c>
      <c r="C131" s="759">
        <v>2.1875</v>
      </c>
      <c r="D131" s="758">
        <v>5.5</v>
      </c>
      <c r="E131" s="759">
        <v>3.375</v>
      </c>
      <c r="F131" s="759">
        <v>3.375</v>
      </c>
      <c r="G131" s="759">
        <v>12.5</v>
      </c>
      <c r="H131" s="775" t="s">
        <v>1974</v>
      </c>
      <c r="J131" s="733">
        <f t="shared" ref="J131:P139" si="9">A131*25.4</f>
        <v>152.39999999999998</v>
      </c>
      <c r="K131" s="763">
        <f t="shared" si="9"/>
        <v>381</v>
      </c>
      <c r="L131" s="761">
        <f t="shared" si="8"/>
        <v>55.5625</v>
      </c>
      <c r="M131" s="761">
        <f t="shared" si="8"/>
        <v>139.69999999999999</v>
      </c>
      <c r="N131" s="761">
        <f t="shared" si="8"/>
        <v>85.724999999999994</v>
      </c>
      <c r="O131" s="761">
        <f t="shared" si="8"/>
        <v>85.724999999999994</v>
      </c>
      <c r="P131" s="761">
        <f t="shared" si="8"/>
        <v>317.5</v>
      </c>
      <c r="Q131" s="775" t="s">
        <v>1975</v>
      </c>
    </row>
    <row r="132" spans="1:17" x14ac:dyDescent="0.2">
      <c r="A132" s="735">
        <v>8</v>
      </c>
      <c r="B132" s="758">
        <v>18.5</v>
      </c>
      <c r="C132" s="758">
        <v>2.5</v>
      </c>
      <c r="D132" s="759">
        <v>6.375</v>
      </c>
      <c r="E132" s="759">
        <v>4</v>
      </c>
      <c r="F132" s="759">
        <v>4.5</v>
      </c>
      <c r="G132" s="759">
        <v>15.5</v>
      </c>
      <c r="H132" s="779" t="s">
        <v>1994</v>
      </c>
      <c r="J132" s="733">
        <f t="shared" si="9"/>
        <v>203.2</v>
      </c>
      <c r="K132" s="763">
        <f t="shared" si="9"/>
        <v>469.9</v>
      </c>
      <c r="L132" s="761">
        <f t="shared" si="8"/>
        <v>63.5</v>
      </c>
      <c r="M132" s="761">
        <f t="shared" si="8"/>
        <v>161.92499999999998</v>
      </c>
      <c r="N132" s="761">
        <f t="shared" si="8"/>
        <v>101.6</v>
      </c>
      <c r="O132" s="761">
        <f t="shared" si="8"/>
        <v>114.3</v>
      </c>
      <c r="P132" s="761">
        <f t="shared" si="8"/>
        <v>393.7</v>
      </c>
      <c r="Q132" s="779" t="s">
        <v>1995</v>
      </c>
    </row>
    <row r="133" spans="1:17" x14ac:dyDescent="0.2">
      <c r="A133" s="735">
        <v>10</v>
      </c>
      <c r="B133" s="759">
        <v>21.5</v>
      </c>
      <c r="C133" s="758">
        <v>2.75</v>
      </c>
      <c r="D133" s="759">
        <v>7.25</v>
      </c>
      <c r="E133" s="759">
        <v>4.25</v>
      </c>
      <c r="F133" s="759">
        <v>5</v>
      </c>
      <c r="G133" s="759">
        <v>18.5</v>
      </c>
      <c r="H133" s="779" t="s">
        <v>1996</v>
      </c>
      <c r="J133" s="733">
        <f t="shared" si="9"/>
        <v>254</v>
      </c>
      <c r="K133" s="763">
        <f t="shared" si="9"/>
        <v>546.1</v>
      </c>
      <c r="L133" s="761">
        <f t="shared" si="8"/>
        <v>69.849999999999994</v>
      </c>
      <c r="M133" s="761">
        <f t="shared" si="8"/>
        <v>184.14999999999998</v>
      </c>
      <c r="N133" s="761">
        <f t="shared" si="8"/>
        <v>107.94999999999999</v>
      </c>
      <c r="O133" s="761">
        <f t="shared" si="8"/>
        <v>127</v>
      </c>
      <c r="P133" s="761">
        <f t="shared" si="8"/>
        <v>469.9</v>
      </c>
      <c r="Q133" s="779" t="s">
        <v>1997</v>
      </c>
    </row>
    <row r="134" spans="1:17" ht="13.5" thickBot="1" x14ac:dyDescent="0.25">
      <c r="A134" s="744">
        <v>12</v>
      </c>
      <c r="B134" s="766">
        <v>24</v>
      </c>
      <c r="C134" s="765">
        <v>3.125</v>
      </c>
      <c r="D134" s="765">
        <v>7.875</v>
      </c>
      <c r="E134" s="766">
        <v>4.625</v>
      </c>
      <c r="F134" s="766">
        <v>5.625</v>
      </c>
      <c r="G134" s="766">
        <v>21</v>
      </c>
      <c r="H134" s="777" t="s">
        <v>1966</v>
      </c>
      <c r="J134" s="742">
        <f t="shared" si="9"/>
        <v>304.79999999999995</v>
      </c>
      <c r="K134" s="768">
        <f t="shared" si="9"/>
        <v>609.59999999999991</v>
      </c>
      <c r="L134" s="768">
        <f t="shared" si="8"/>
        <v>79.375</v>
      </c>
      <c r="M134" s="768">
        <f t="shared" si="8"/>
        <v>200.02499999999998</v>
      </c>
      <c r="N134" s="768">
        <f t="shared" si="8"/>
        <v>117.47499999999999</v>
      </c>
      <c r="O134" s="768">
        <f t="shared" si="8"/>
        <v>142.875</v>
      </c>
      <c r="P134" s="768">
        <f t="shared" si="8"/>
        <v>533.4</v>
      </c>
      <c r="Q134" s="777" t="s">
        <v>1967</v>
      </c>
    </row>
    <row r="135" spans="1:17" ht="13.5" thickTop="1" x14ac:dyDescent="0.2">
      <c r="A135" s="743">
        <v>14</v>
      </c>
      <c r="B135" s="772">
        <v>25.25</v>
      </c>
      <c r="C135" s="770">
        <v>3.375</v>
      </c>
      <c r="D135" s="772">
        <v>8.375</v>
      </c>
      <c r="E135" s="772">
        <v>5.125</v>
      </c>
      <c r="F135" s="772">
        <v>6.125</v>
      </c>
      <c r="G135" s="772">
        <v>22</v>
      </c>
      <c r="H135" s="773" t="s">
        <v>1976</v>
      </c>
      <c r="J135" s="727">
        <f t="shared" si="9"/>
        <v>355.59999999999997</v>
      </c>
      <c r="K135" s="757">
        <f t="shared" si="9"/>
        <v>641.34999999999991</v>
      </c>
      <c r="L135" s="757">
        <f t="shared" si="8"/>
        <v>85.724999999999994</v>
      </c>
      <c r="M135" s="757">
        <f t="shared" si="8"/>
        <v>212.72499999999999</v>
      </c>
      <c r="N135" s="757">
        <f t="shared" si="8"/>
        <v>130.17499999999998</v>
      </c>
      <c r="O135" s="757">
        <f t="shared" si="8"/>
        <v>155.57499999999999</v>
      </c>
      <c r="P135" s="757">
        <f t="shared" si="8"/>
        <v>558.79999999999995</v>
      </c>
      <c r="Q135" s="773" t="s">
        <v>1977</v>
      </c>
    </row>
    <row r="136" spans="1:17" x14ac:dyDescent="0.2">
      <c r="A136" s="735">
        <v>16</v>
      </c>
      <c r="B136" s="758">
        <v>27.75</v>
      </c>
      <c r="C136" s="758">
        <v>3.5</v>
      </c>
      <c r="D136" s="759">
        <v>8.5</v>
      </c>
      <c r="E136" s="759">
        <v>5.25</v>
      </c>
      <c r="F136" s="759">
        <v>6.5</v>
      </c>
      <c r="G136" s="759">
        <v>24.25</v>
      </c>
      <c r="H136" s="775" t="s">
        <v>1978</v>
      </c>
      <c r="J136" s="733">
        <f t="shared" si="9"/>
        <v>406.4</v>
      </c>
      <c r="K136" s="763">
        <f t="shared" si="9"/>
        <v>704.84999999999991</v>
      </c>
      <c r="L136" s="761">
        <f t="shared" si="9"/>
        <v>88.899999999999991</v>
      </c>
      <c r="M136" s="761">
        <f t="shared" si="9"/>
        <v>215.89999999999998</v>
      </c>
      <c r="N136" s="761">
        <f t="shared" si="9"/>
        <v>133.35</v>
      </c>
      <c r="O136" s="761">
        <f t="shared" si="9"/>
        <v>165.1</v>
      </c>
      <c r="P136" s="761">
        <f t="shared" si="9"/>
        <v>615.94999999999993</v>
      </c>
      <c r="Q136" s="775" t="s">
        <v>1979</v>
      </c>
    </row>
    <row r="137" spans="1:17" x14ac:dyDescent="0.2">
      <c r="A137" s="735">
        <v>18</v>
      </c>
      <c r="B137" s="759">
        <v>31</v>
      </c>
      <c r="C137" s="758">
        <v>4</v>
      </c>
      <c r="D137" s="758">
        <v>9</v>
      </c>
      <c r="E137" s="759">
        <v>6</v>
      </c>
      <c r="F137" s="759">
        <v>7.5</v>
      </c>
      <c r="G137" s="759">
        <v>27</v>
      </c>
      <c r="H137" s="775" t="s">
        <v>1998</v>
      </c>
      <c r="J137" s="733">
        <f t="shared" si="9"/>
        <v>457.2</v>
      </c>
      <c r="K137" s="763">
        <f t="shared" si="9"/>
        <v>787.4</v>
      </c>
      <c r="L137" s="761">
        <f t="shared" si="9"/>
        <v>101.6</v>
      </c>
      <c r="M137" s="761">
        <f t="shared" si="9"/>
        <v>228.6</v>
      </c>
      <c r="N137" s="761">
        <f t="shared" si="9"/>
        <v>152.39999999999998</v>
      </c>
      <c r="O137" s="761">
        <f t="shared" si="9"/>
        <v>190.5</v>
      </c>
      <c r="P137" s="761">
        <f t="shared" si="9"/>
        <v>685.8</v>
      </c>
      <c r="Q137" s="775" t="s">
        <v>1999</v>
      </c>
    </row>
    <row r="138" spans="1:17" x14ac:dyDescent="0.2">
      <c r="A138" s="735">
        <v>20</v>
      </c>
      <c r="B138" s="758">
        <v>33.75</v>
      </c>
      <c r="C138" s="758">
        <v>4.25</v>
      </c>
      <c r="D138" s="758">
        <v>9.75</v>
      </c>
      <c r="E138" s="759">
        <v>6.25</v>
      </c>
      <c r="F138" s="759">
        <v>8.25</v>
      </c>
      <c r="G138" s="759">
        <v>29.5</v>
      </c>
      <c r="H138" s="775" t="s">
        <v>2000</v>
      </c>
      <c r="J138" s="733">
        <f t="shared" si="9"/>
        <v>508</v>
      </c>
      <c r="K138" s="763">
        <f t="shared" si="9"/>
        <v>857.25</v>
      </c>
      <c r="L138" s="761">
        <f t="shared" si="9"/>
        <v>107.94999999999999</v>
      </c>
      <c r="M138" s="761">
        <f t="shared" si="9"/>
        <v>247.64999999999998</v>
      </c>
      <c r="N138" s="761">
        <f t="shared" si="9"/>
        <v>158.75</v>
      </c>
      <c r="O138" s="761">
        <f t="shared" si="9"/>
        <v>209.54999999999998</v>
      </c>
      <c r="P138" s="761">
        <f t="shared" si="9"/>
        <v>749.3</v>
      </c>
      <c r="Q138" s="775" t="s">
        <v>2001</v>
      </c>
    </row>
    <row r="139" spans="1:17" ht="13.5" thickBot="1" x14ac:dyDescent="0.25">
      <c r="A139" s="744">
        <v>24</v>
      </c>
      <c r="B139" s="766">
        <v>41</v>
      </c>
      <c r="C139" s="765">
        <v>5.5</v>
      </c>
      <c r="D139" s="766">
        <v>11.5</v>
      </c>
      <c r="E139" s="766">
        <v>8</v>
      </c>
      <c r="F139" s="766">
        <v>10.5</v>
      </c>
      <c r="G139" s="766">
        <v>35.5</v>
      </c>
      <c r="H139" s="777" t="s">
        <v>2002</v>
      </c>
      <c r="J139" s="742">
        <f t="shared" si="9"/>
        <v>609.59999999999991</v>
      </c>
      <c r="K139" s="768">
        <f t="shared" si="9"/>
        <v>1041.3999999999999</v>
      </c>
      <c r="L139" s="768">
        <f t="shared" si="9"/>
        <v>139.69999999999999</v>
      </c>
      <c r="M139" s="768">
        <f t="shared" si="9"/>
        <v>292.09999999999997</v>
      </c>
      <c r="N139" s="768">
        <f t="shared" si="9"/>
        <v>203.2</v>
      </c>
      <c r="O139" s="768">
        <f t="shared" si="9"/>
        <v>266.7</v>
      </c>
      <c r="P139" s="768">
        <f t="shared" si="9"/>
        <v>901.69999999999993</v>
      </c>
      <c r="Q139" s="777" t="s">
        <v>2003</v>
      </c>
    </row>
    <row r="140" spans="1:17" ht="13.5" thickTop="1" x14ac:dyDescent="0.2"/>
    <row r="141" spans="1:17" ht="13.5" thickBot="1" x14ac:dyDescent="0.25">
      <c r="A141" s="192" t="s">
        <v>26</v>
      </c>
      <c r="J141" s="192" t="s">
        <v>27</v>
      </c>
    </row>
    <row r="142" spans="1:17" ht="14.25" thickTop="1" thickBot="1" x14ac:dyDescent="0.25">
      <c r="A142" s="624"/>
      <c r="B142" s="749"/>
      <c r="C142" s="750"/>
      <c r="D142" s="784" t="s">
        <v>23</v>
      </c>
      <c r="E142" s="750"/>
      <c r="F142" s="750"/>
      <c r="G142" s="750"/>
      <c r="H142" s="751"/>
      <c r="J142" s="624"/>
      <c r="K142" s="749"/>
      <c r="L142" s="750"/>
      <c r="M142" s="784" t="s">
        <v>24</v>
      </c>
      <c r="N142" s="750"/>
      <c r="O142" s="750"/>
      <c r="P142" s="750"/>
      <c r="Q142" s="751"/>
    </row>
    <row r="143" spans="1:17" ht="17.25" thickTop="1" thickBot="1" x14ac:dyDescent="0.3">
      <c r="A143" s="510" t="s">
        <v>1867</v>
      </c>
      <c r="B143" s="624"/>
      <c r="C143" s="624"/>
      <c r="D143" s="752" t="s">
        <v>25</v>
      </c>
      <c r="E143" s="752"/>
      <c r="F143" s="750"/>
      <c r="G143" s="751"/>
      <c r="H143" s="721" t="s">
        <v>1920</v>
      </c>
      <c r="J143" s="510" t="s">
        <v>1867</v>
      </c>
      <c r="K143" s="624"/>
      <c r="L143" s="624"/>
      <c r="M143" s="752" t="s">
        <v>25</v>
      </c>
      <c r="N143" s="752"/>
      <c r="O143" s="750"/>
      <c r="P143" s="751"/>
      <c r="Q143" s="721" t="s">
        <v>1920</v>
      </c>
    </row>
    <row r="144" spans="1:17" ht="18.75" thickTop="1" x14ac:dyDescent="0.25">
      <c r="A144" s="510" t="s">
        <v>1556</v>
      </c>
      <c r="B144" s="626" t="s">
        <v>1921</v>
      </c>
      <c r="C144" s="626" t="s">
        <v>1779</v>
      </c>
      <c r="D144" s="721" t="s">
        <v>1922</v>
      </c>
      <c r="E144" s="721" t="s">
        <v>1923</v>
      </c>
      <c r="F144" s="721" t="s">
        <v>1924</v>
      </c>
      <c r="G144" s="721" t="s">
        <v>1101</v>
      </c>
      <c r="H144" s="513" t="s">
        <v>1925</v>
      </c>
      <c r="J144" s="510" t="s">
        <v>1556</v>
      </c>
      <c r="K144" s="626" t="s">
        <v>1921</v>
      </c>
      <c r="L144" s="626" t="s">
        <v>1779</v>
      </c>
      <c r="M144" s="721" t="s">
        <v>1922</v>
      </c>
      <c r="N144" s="721" t="s">
        <v>1923</v>
      </c>
      <c r="O144" s="721" t="s">
        <v>1924</v>
      </c>
      <c r="P144" s="721" t="s">
        <v>1101</v>
      </c>
      <c r="Q144" s="513" t="s">
        <v>1925</v>
      </c>
    </row>
    <row r="145" spans="1:17" ht="13.5" thickBot="1" x14ac:dyDescent="0.25">
      <c r="A145" s="517" t="s">
        <v>894</v>
      </c>
      <c r="B145" s="519" t="s">
        <v>1926</v>
      </c>
      <c r="C145" s="519" t="s">
        <v>1926</v>
      </c>
      <c r="D145" s="718" t="s">
        <v>1927</v>
      </c>
      <c r="E145" s="718" t="s">
        <v>1928</v>
      </c>
      <c r="F145" s="718" t="s">
        <v>1929</v>
      </c>
      <c r="G145" s="718" t="s">
        <v>1930</v>
      </c>
      <c r="H145" s="718" t="s">
        <v>1931</v>
      </c>
      <c r="J145" s="517" t="s">
        <v>894</v>
      </c>
      <c r="K145" s="517" t="s">
        <v>1803</v>
      </c>
      <c r="L145" s="517" t="s">
        <v>1803</v>
      </c>
      <c r="M145" s="718" t="s">
        <v>1927</v>
      </c>
      <c r="N145" s="718" t="s">
        <v>1928</v>
      </c>
      <c r="O145" s="718" t="s">
        <v>1929</v>
      </c>
      <c r="P145" s="718" t="s">
        <v>1930</v>
      </c>
      <c r="Q145" s="718" t="s">
        <v>1931</v>
      </c>
    </row>
    <row r="146" spans="1:17" ht="13.5" thickTop="1" x14ac:dyDescent="0.2">
      <c r="A146" s="722">
        <v>0.5</v>
      </c>
      <c r="B146" s="753">
        <v>4.75</v>
      </c>
      <c r="C146" s="754">
        <v>0.875</v>
      </c>
      <c r="D146" s="754">
        <v>2.375</v>
      </c>
      <c r="E146" s="754">
        <v>1.25</v>
      </c>
      <c r="F146" s="754">
        <v>1.25</v>
      </c>
      <c r="G146" s="754">
        <v>3.25</v>
      </c>
      <c r="H146" s="756" t="s">
        <v>1984</v>
      </c>
      <c r="J146" s="727">
        <f t="shared" ref="J146:P161" si="10">A146*25.4</f>
        <v>12.7</v>
      </c>
      <c r="K146" s="757">
        <f t="shared" si="10"/>
        <v>120.64999999999999</v>
      </c>
      <c r="L146" s="757">
        <f t="shared" si="10"/>
        <v>22.224999999999998</v>
      </c>
      <c r="M146" s="757">
        <f t="shared" si="10"/>
        <v>60.324999999999996</v>
      </c>
      <c r="N146" s="757">
        <f t="shared" si="10"/>
        <v>31.75</v>
      </c>
      <c r="O146" s="757">
        <f t="shared" si="10"/>
        <v>31.75</v>
      </c>
      <c r="P146" s="757">
        <f t="shared" si="10"/>
        <v>82.55</v>
      </c>
      <c r="Q146" s="756" t="s">
        <v>1985</v>
      </c>
    </row>
    <row r="147" spans="1:17" x14ac:dyDescent="0.2">
      <c r="A147" s="729">
        <v>0.75</v>
      </c>
      <c r="B147" s="758">
        <v>5.125</v>
      </c>
      <c r="C147" s="758">
        <v>1</v>
      </c>
      <c r="D147" s="758">
        <v>2.75</v>
      </c>
      <c r="E147" s="758">
        <v>1.375</v>
      </c>
      <c r="F147" s="759">
        <v>1.375</v>
      </c>
      <c r="G147" s="759">
        <v>3.5</v>
      </c>
      <c r="H147" s="760" t="s">
        <v>1984</v>
      </c>
      <c r="J147" s="733">
        <f t="shared" si="10"/>
        <v>19.049999999999997</v>
      </c>
      <c r="K147" s="761">
        <f t="shared" si="10"/>
        <v>130.17499999999998</v>
      </c>
      <c r="L147" s="761">
        <f t="shared" si="10"/>
        <v>25.4</v>
      </c>
      <c r="M147" s="761">
        <f t="shared" si="10"/>
        <v>69.849999999999994</v>
      </c>
      <c r="N147" s="761">
        <f t="shared" si="10"/>
        <v>34.924999999999997</v>
      </c>
      <c r="O147" s="761">
        <f t="shared" si="10"/>
        <v>34.924999999999997</v>
      </c>
      <c r="P147" s="761">
        <f t="shared" si="10"/>
        <v>88.899999999999991</v>
      </c>
      <c r="Q147" s="760" t="s">
        <v>1955</v>
      </c>
    </row>
    <row r="148" spans="1:17" x14ac:dyDescent="0.2">
      <c r="A148" s="735">
        <v>1</v>
      </c>
      <c r="B148" s="758">
        <v>5.875</v>
      </c>
      <c r="C148" s="758">
        <v>1.125</v>
      </c>
      <c r="D148" s="758">
        <v>2.875</v>
      </c>
      <c r="E148" s="759">
        <v>1.625</v>
      </c>
      <c r="F148" s="759">
        <v>1.625</v>
      </c>
      <c r="G148" s="759">
        <v>4</v>
      </c>
      <c r="H148" s="760" t="s">
        <v>1986</v>
      </c>
      <c r="J148" s="733">
        <f t="shared" si="10"/>
        <v>25.4</v>
      </c>
      <c r="K148" s="761">
        <f t="shared" si="10"/>
        <v>149.22499999999999</v>
      </c>
      <c r="L148" s="761">
        <f t="shared" si="10"/>
        <v>28.574999999999999</v>
      </c>
      <c r="M148" s="761">
        <f t="shared" si="10"/>
        <v>73.024999999999991</v>
      </c>
      <c r="N148" s="761">
        <f t="shared" si="10"/>
        <v>41.274999999999999</v>
      </c>
      <c r="O148" s="761">
        <f t="shared" si="10"/>
        <v>41.274999999999999</v>
      </c>
      <c r="P148" s="761">
        <f t="shared" si="10"/>
        <v>101.6</v>
      </c>
      <c r="Q148" s="760" t="s">
        <v>1987</v>
      </c>
    </row>
    <row r="149" spans="1:17" x14ac:dyDescent="0.2">
      <c r="A149" s="736">
        <v>1.25</v>
      </c>
      <c r="B149" s="758">
        <v>6.25</v>
      </c>
      <c r="C149" s="758">
        <v>1.125</v>
      </c>
      <c r="D149" s="758">
        <v>2.875</v>
      </c>
      <c r="E149" s="759">
        <v>1.625</v>
      </c>
      <c r="F149" s="759">
        <v>1.625</v>
      </c>
      <c r="G149" s="759">
        <v>4.375</v>
      </c>
      <c r="H149" s="760" t="s">
        <v>1986</v>
      </c>
      <c r="J149" s="733">
        <f t="shared" si="10"/>
        <v>31.75</v>
      </c>
      <c r="K149" s="763">
        <f t="shared" si="10"/>
        <v>158.75</v>
      </c>
      <c r="L149" s="761">
        <f t="shared" si="10"/>
        <v>28.574999999999999</v>
      </c>
      <c r="M149" s="761">
        <f t="shared" si="10"/>
        <v>73.024999999999991</v>
      </c>
      <c r="N149" s="761">
        <f t="shared" si="10"/>
        <v>41.274999999999999</v>
      </c>
      <c r="O149" s="761">
        <f t="shared" si="10"/>
        <v>41.274999999999999</v>
      </c>
      <c r="P149" s="761">
        <f t="shared" si="10"/>
        <v>111.125</v>
      </c>
      <c r="Q149" s="760" t="s">
        <v>1987</v>
      </c>
    </row>
    <row r="150" spans="1:17" ht="13.5" thickBot="1" x14ac:dyDescent="0.25">
      <c r="A150" s="737">
        <v>1.5</v>
      </c>
      <c r="B150" s="766">
        <v>7</v>
      </c>
      <c r="C150" s="765">
        <v>1.25</v>
      </c>
      <c r="D150" s="765">
        <v>3.25</v>
      </c>
      <c r="E150" s="766">
        <v>1.75</v>
      </c>
      <c r="F150" s="766">
        <v>1.75</v>
      </c>
      <c r="G150" s="766">
        <v>4.875</v>
      </c>
      <c r="H150" s="767" t="s">
        <v>1988</v>
      </c>
      <c r="J150" s="742">
        <f t="shared" si="10"/>
        <v>38.099999999999994</v>
      </c>
      <c r="K150" s="768">
        <f t="shared" si="10"/>
        <v>177.79999999999998</v>
      </c>
      <c r="L150" s="768">
        <f t="shared" si="10"/>
        <v>31.75</v>
      </c>
      <c r="M150" s="768">
        <f t="shared" si="10"/>
        <v>82.55</v>
      </c>
      <c r="N150" s="768">
        <f t="shared" si="10"/>
        <v>44.449999999999996</v>
      </c>
      <c r="O150" s="768">
        <f t="shared" si="10"/>
        <v>44.449999999999996</v>
      </c>
      <c r="P150" s="768">
        <f t="shared" si="10"/>
        <v>123.82499999999999</v>
      </c>
      <c r="Q150" s="767" t="s">
        <v>1989</v>
      </c>
    </row>
    <row r="151" spans="1:17" ht="13.5" thickTop="1" x14ac:dyDescent="0.2">
      <c r="A151" s="743">
        <v>2</v>
      </c>
      <c r="B151" s="772">
        <v>8.5</v>
      </c>
      <c r="C151" s="770">
        <v>1.5</v>
      </c>
      <c r="D151" s="770">
        <v>4</v>
      </c>
      <c r="E151" s="772">
        <v>2.25</v>
      </c>
      <c r="F151" s="772">
        <v>2.25</v>
      </c>
      <c r="G151" s="772">
        <v>6.5</v>
      </c>
      <c r="H151" s="773" t="s">
        <v>1962</v>
      </c>
      <c r="J151" s="727">
        <f t="shared" si="10"/>
        <v>50.8</v>
      </c>
      <c r="K151" s="757">
        <f t="shared" si="10"/>
        <v>215.89999999999998</v>
      </c>
      <c r="L151" s="757">
        <f t="shared" si="10"/>
        <v>38.099999999999994</v>
      </c>
      <c r="M151" s="757">
        <f t="shared" si="10"/>
        <v>101.6</v>
      </c>
      <c r="N151" s="757">
        <f t="shared" si="10"/>
        <v>57.15</v>
      </c>
      <c r="O151" s="757">
        <f t="shared" si="10"/>
        <v>57.15</v>
      </c>
      <c r="P151" s="757">
        <f t="shared" si="10"/>
        <v>165.1</v>
      </c>
      <c r="Q151" s="773" t="s">
        <v>1963</v>
      </c>
    </row>
    <row r="152" spans="1:17" x14ac:dyDescent="0.2">
      <c r="A152" s="736">
        <v>2.5</v>
      </c>
      <c r="B152" s="759">
        <v>9.625</v>
      </c>
      <c r="C152" s="758">
        <v>1.625</v>
      </c>
      <c r="D152" s="758">
        <v>4.125</v>
      </c>
      <c r="E152" s="759">
        <v>2.5</v>
      </c>
      <c r="F152" s="759">
        <v>2.5</v>
      </c>
      <c r="G152" s="759">
        <v>7.5</v>
      </c>
      <c r="H152" s="773" t="s">
        <v>1972</v>
      </c>
      <c r="J152" s="733">
        <f t="shared" si="10"/>
        <v>63.5</v>
      </c>
      <c r="K152" s="761">
        <f>B152*25.4</f>
        <v>244.47499999999999</v>
      </c>
      <c r="L152" s="761">
        <f t="shared" si="10"/>
        <v>41.274999999999999</v>
      </c>
      <c r="M152" s="761">
        <f t="shared" si="10"/>
        <v>104.77499999999999</v>
      </c>
      <c r="N152" s="761">
        <f t="shared" si="10"/>
        <v>63.5</v>
      </c>
      <c r="O152" s="761">
        <f t="shared" si="10"/>
        <v>63.5</v>
      </c>
      <c r="P152" s="761">
        <f t="shared" si="10"/>
        <v>190.5</v>
      </c>
      <c r="Q152" s="773" t="s">
        <v>1973</v>
      </c>
    </row>
    <row r="153" spans="1:17" x14ac:dyDescent="0.2">
      <c r="A153" s="735">
        <v>3</v>
      </c>
      <c r="B153" s="758">
        <v>10.5</v>
      </c>
      <c r="C153" s="758">
        <v>1.875</v>
      </c>
      <c r="D153" s="758">
        <v>4.625</v>
      </c>
      <c r="E153" s="759">
        <v>2.875</v>
      </c>
      <c r="F153" s="759">
        <v>2.875</v>
      </c>
      <c r="G153" s="759">
        <v>8</v>
      </c>
      <c r="H153" s="773" t="s">
        <v>1990</v>
      </c>
      <c r="J153" s="733">
        <f t="shared" si="10"/>
        <v>76.199999999999989</v>
      </c>
      <c r="K153" s="761">
        <f>B153*25.4</f>
        <v>266.7</v>
      </c>
      <c r="L153" s="761">
        <f t="shared" si="10"/>
        <v>47.625</v>
      </c>
      <c r="M153" s="761">
        <f t="shared" si="10"/>
        <v>117.47499999999999</v>
      </c>
      <c r="N153" s="761">
        <f t="shared" si="10"/>
        <v>73.024999999999991</v>
      </c>
      <c r="O153" s="761">
        <f t="shared" si="10"/>
        <v>73.024999999999991</v>
      </c>
      <c r="P153" s="761">
        <f t="shared" si="10"/>
        <v>203.2</v>
      </c>
      <c r="Q153" s="773" t="s">
        <v>1991</v>
      </c>
    </row>
    <row r="154" spans="1:17" x14ac:dyDescent="0.2">
      <c r="A154" s="736">
        <v>3.5</v>
      </c>
      <c r="B154" s="782"/>
      <c r="C154" s="782"/>
      <c r="D154" s="782"/>
      <c r="E154" s="782"/>
      <c r="F154" s="782"/>
      <c r="G154" s="782"/>
      <c r="H154" s="782"/>
      <c r="J154" s="733">
        <f t="shared" si="10"/>
        <v>88.899999999999991</v>
      </c>
      <c r="K154" s="782"/>
      <c r="L154" s="782"/>
      <c r="M154" s="782"/>
      <c r="N154" s="782"/>
      <c r="O154" s="782"/>
      <c r="P154" s="782"/>
      <c r="Q154" s="782"/>
    </row>
    <row r="155" spans="1:17" ht="13.5" thickBot="1" x14ac:dyDescent="0.25">
      <c r="A155" s="744">
        <v>4</v>
      </c>
      <c r="B155" s="766">
        <v>12.25</v>
      </c>
      <c r="C155" s="765">
        <v>2.125</v>
      </c>
      <c r="D155" s="766">
        <v>4.875</v>
      </c>
      <c r="E155" s="766">
        <v>3.5625</v>
      </c>
      <c r="F155" s="766">
        <v>3.5625</v>
      </c>
      <c r="G155" s="766">
        <v>9.5</v>
      </c>
      <c r="H155" s="777" t="s">
        <v>1992</v>
      </c>
      <c r="J155" s="742">
        <f t="shared" si="10"/>
        <v>101.6</v>
      </c>
      <c r="K155" s="768">
        <f t="shared" si="10"/>
        <v>311.14999999999998</v>
      </c>
      <c r="L155" s="768">
        <f t="shared" si="10"/>
        <v>53.974999999999994</v>
      </c>
      <c r="M155" s="768">
        <f t="shared" si="10"/>
        <v>123.82499999999999</v>
      </c>
      <c r="N155" s="768">
        <f t="shared" si="10"/>
        <v>90.487499999999997</v>
      </c>
      <c r="O155" s="768">
        <f t="shared" si="10"/>
        <v>90.487499999999997</v>
      </c>
      <c r="P155" s="768">
        <f t="shared" si="10"/>
        <v>241.29999999999998</v>
      </c>
      <c r="Q155" s="777" t="s">
        <v>1993</v>
      </c>
    </row>
    <row r="156" spans="1:17" ht="13.5" thickTop="1" x14ac:dyDescent="0.2">
      <c r="A156" s="743">
        <v>5</v>
      </c>
      <c r="B156" s="772">
        <v>14.75</v>
      </c>
      <c r="C156" s="770">
        <v>2.875</v>
      </c>
      <c r="D156" s="770">
        <v>6.125</v>
      </c>
      <c r="E156" s="772">
        <v>4.125</v>
      </c>
      <c r="F156" s="772">
        <v>4.125</v>
      </c>
      <c r="G156" s="772">
        <v>11.5</v>
      </c>
      <c r="H156" s="773" t="s">
        <v>2004</v>
      </c>
      <c r="J156" s="727">
        <f>A156*25.4</f>
        <v>127</v>
      </c>
      <c r="K156" s="757">
        <f>B156*25.4</f>
        <v>374.65</v>
      </c>
      <c r="L156" s="757">
        <f t="shared" si="10"/>
        <v>73.024999999999991</v>
      </c>
      <c r="M156" s="757">
        <f t="shared" si="10"/>
        <v>155.57499999999999</v>
      </c>
      <c r="N156" s="757">
        <f t="shared" si="10"/>
        <v>104.77499999999999</v>
      </c>
      <c r="O156" s="757">
        <f t="shared" si="10"/>
        <v>104.77499999999999</v>
      </c>
      <c r="P156" s="757">
        <f t="shared" si="10"/>
        <v>292.09999999999997</v>
      </c>
      <c r="Q156" s="773" t="s">
        <v>2005</v>
      </c>
    </row>
    <row r="157" spans="1:17" x14ac:dyDescent="0.2">
      <c r="A157" s="735">
        <v>6</v>
      </c>
      <c r="B157" s="759">
        <v>15.5</v>
      </c>
      <c r="C157" s="759">
        <v>3.25</v>
      </c>
      <c r="D157" s="758">
        <v>6.75</v>
      </c>
      <c r="E157" s="759">
        <v>4.6875</v>
      </c>
      <c r="F157" s="759">
        <v>4.6875</v>
      </c>
      <c r="G157" s="759">
        <v>12.5</v>
      </c>
      <c r="H157" s="775" t="s">
        <v>1994</v>
      </c>
      <c r="J157" s="733">
        <f t="shared" ref="J157:P165" si="11">A157*25.4</f>
        <v>152.39999999999998</v>
      </c>
      <c r="K157" s="763">
        <f t="shared" si="11"/>
        <v>393.7</v>
      </c>
      <c r="L157" s="761">
        <f t="shared" si="10"/>
        <v>82.55</v>
      </c>
      <c r="M157" s="761">
        <f t="shared" si="10"/>
        <v>171.45</v>
      </c>
      <c r="N157" s="761">
        <f t="shared" si="10"/>
        <v>119.0625</v>
      </c>
      <c r="O157" s="761">
        <f t="shared" si="10"/>
        <v>119.0625</v>
      </c>
      <c r="P157" s="761">
        <f t="shared" si="10"/>
        <v>317.5</v>
      </c>
      <c r="Q157" s="775" t="s">
        <v>1995</v>
      </c>
    </row>
    <row r="158" spans="1:17" x14ac:dyDescent="0.2">
      <c r="A158" s="735">
        <v>8</v>
      </c>
      <c r="B158" s="758">
        <v>19</v>
      </c>
      <c r="C158" s="758">
        <v>3.625</v>
      </c>
      <c r="D158" s="759">
        <v>8.375</v>
      </c>
      <c r="E158" s="759">
        <v>5.625</v>
      </c>
      <c r="F158" s="759">
        <v>5.625</v>
      </c>
      <c r="G158" s="759">
        <v>15.5</v>
      </c>
      <c r="H158" s="779" t="s">
        <v>2006</v>
      </c>
      <c r="J158" s="733">
        <f t="shared" si="11"/>
        <v>203.2</v>
      </c>
      <c r="K158" s="763">
        <f t="shared" si="11"/>
        <v>482.59999999999997</v>
      </c>
      <c r="L158" s="761">
        <f t="shared" si="10"/>
        <v>92.074999999999989</v>
      </c>
      <c r="M158" s="761">
        <f t="shared" si="10"/>
        <v>212.72499999999999</v>
      </c>
      <c r="N158" s="761">
        <f t="shared" si="10"/>
        <v>142.875</v>
      </c>
      <c r="O158" s="761">
        <f t="shared" si="10"/>
        <v>142.875</v>
      </c>
      <c r="P158" s="761">
        <f t="shared" si="10"/>
        <v>393.7</v>
      </c>
      <c r="Q158" s="779" t="s">
        <v>2007</v>
      </c>
    </row>
    <row r="159" spans="1:17" x14ac:dyDescent="0.2">
      <c r="A159" s="735">
        <v>10</v>
      </c>
      <c r="B159" s="759">
        <v>23</v>
      </c>
      <c r="C159" s="758">
        <v>4.25</v>
      </c>
      <c r="D159" s="759">
        <v>10</v>
      </c>
      <c r="E159" s="759">
        <v>6.25</v>
      </c>
      <c r="F159" s="759">
        <v>7</v>
      </c>
      <c r="G159" s="759">
        <v>19</v>
      </c>
      <c r="H159" s="779" t="s">
        <v>2008</v>
      </c>
      <c r="J159" s="733">
        <f t="shared" si="11"/>
        <v>254</v>
      </c>
      <c r="K159" s="763">
        <f t="shared" si="11"/>
        <v>584.19999999999993</v>
      </c>
      <c r="L159" s="761">
        <f t="shared" si="10"/>
        <v>107.94999999999999</v>
      </c>
      <c r="M159" s="761">
        <f t="shared" si="10"/>
        <v>254</v>
      </c>
      <c r="N159" s="761">
        <f t="shared" si="10"/>
        <v>158.75</v>
      </c>
      <c r="O159" s="761">
        <f t="shared" si="10"/>
        <v>177.79999999999998</v>
      </c>
      <c r="P159" s="761">
        <f t="shared" si="10"/>
        <v>482.59999999999997</v>
      </c>
      <c r="Q159" s="779" t="s">
        <v>0</v>
      </c>
    </row>
    <row r="160" spans="1:17" ht="13.5" thickBot="1" x14ac:dyDescent="0.25">
      <c r="A160" s="744">
        <v>12</v>
      </c>
      <c r="B160" s="766">
        <v>26.5</v>
      </c>
      <c r="C160" s="765">
        <v>4.875</v>
      </c>
      <c r="D160" s="765">
        <v>11.125</v>
      </c>
      <c r="E160" s="766">
        <v>7.125</v>
      </c>
      <c r="F160" s="766">
        <v>8.625</v>
      </c>
      <c r="G160" s="766">
        <v>22.5</v>
      </c>
      <c r="H160" s="777" t="s">
        <v>1</v>
      </c>
      <c r="J160" s="742">
        <f t="shared" si="11"/>
        <v>304.79999999999995</v>
      </c>
      <c r="K160" s="768">
        <f t="shared" si="11"/>
        <v>673.09999999999991</v>
      </c>
      <c r="L160" s="768">
        <f t="shared" si="10"/>
        <v>123.82499999999999</v>
      </c>
      <c r="M160" s="768">
        <f t="shared" si="10"/>
        <v>282.57499999999999</v>
      </c>
      <c r="N160" s="768">
        <f t="shared" si="10"/>
        <v>180.97499999999999</v>
      </c>
      <c r="O160" s="768">
        <f t="shared" si="10"/>
        <v>219.07499999999999</v>
      </c>
      <c r="P160" s="768">
        <f t="shared" si="10"/>
        <v>571.5</v>
      </c>
      <c r="Q160" s="777" t="s">
        <v>2</v>
      </c>
    </row>
    <row r="161" spans="1:17" ht="13.5" thickTop="1" x14ac:dyDescent="0.2">
      <c r="A161" s="743">
        <v>14</v>
      </c>
      <c r="B161" s="772">
        <v>29.5</v>
      </c>
      <c r="C161" s="770">
        <v>5.25</v>
      </c>
      <c r="D161" s="772">
        <v>11.75</v>
      </c>
      <c r="E161" s="782"/>
      <c r="F161" s="772">
        <v>9.5</v>
      </c>
      <c r="G161" s="772">
        <v>25</v>
      </c>
      <c r="H161" s="773" t="s">
        <v>3</v>
      </c>
      <c r="J161" s="727">
        <f t="shared" si="11"/>
        <v>355.59999999999997</v>
      </c>
      <c r="K161" s="757">
        <f t="shared" si="11"/>
        <v>749.3</v>
      </c>
      <c r="L161" s="757">
        <f t="shared" si="10"/>
        <v>133.35</v>
      </c>
      <c r="M161" s="757">
        <f t="shared" si="10"/>
        <v>298.45</v>
      </c>
      <c r="N161" s="757">
        <f t="shared" si="10"/>
        <v>0</v>
      </c>
      <c r="O161" s="757">
        <f t="shared" si="10"/>
        <v>241.29999999999998</v>
      </c>
      <c r="P161" s="757">
        <f t="shared" si="10"/>
        <v>635</v>
      </c>
      <c r="Q161" s="773" t="s">
        <v>4</v>
      </c>
    </row>
    <row r="162" spans="1:17" x14ac:dyDescent="0.2">
      <c r="A162" s="735">
        <v>16</v>
      </c>
      <c r="B162" s="758">
        <v>32.5</v>
      </c>
      <c r="C162" s="758">
        <v>5.75</v>
      </c>
      <c r="D162" s="759">
        <v>12.25</v>
      </c>
      <c r="E162" s="782"/>
      <c r="F162" s="759">
        <v>10.25</v>
      </c>
      <c r="G162" s="759">
        <v>27.75</v>
      </c>
      <c r="H162" s="775" t="s">
        <v>5</v>
      </c>
      <c r="J162" s="733">
        <f t="shared" si="11"/>
        <v>406.4</v>
      </c>
      <c r="K162" s="763">
        <f t="shared" si="11"/>
        <v>825.5</v>
      </c>
      <c r="L162" s="761">
        <f t="shared" si="11"/>
        <v>146.04999999999998</v>
      </c>
      <c r="M162" s="761">
        <f t="shared" si="11"/>
        <v>311.14999999999998</v>
      </c>
      <c r="N162" s="761">
        <f t="shared" si="11"/>
        <v>0</v>
      </c>
      <c r="O162" s="761">
        <f t="shared" si="11"/>
        <v>260.34999999999997</v>
      </c>
      <c r="P162" s="761">
        <f t="shared" si="11"/>
        <v>704.84999999999991</v>
      </c>
      <c r="Q162" s="775" t="s">
        <v>6</v>
      </c>
    </row>
    <row r="163" spans="1:17" x14ac:dyDescent="0.2">
      <c r="A163" s="735">
        <v>18</v>
      </c>
      <c r="B163" s="759">
        <v>36</v>
      </c>
      <c r="C163" s="758">
        <v>6.375</v>
      </c>
      <c r="D163" s="758">
        <v>12.875</v>
      </c>
      <c r="E163" s="782"/>
      <c r="F163" s="759">
        <v>10.875</v>
      </c>
      <c r="G163" s="759">
        <v>30.5</v>
      </c>
      <c r="H163" s="775" t="s">
        <v>7</v>
      </c>
      <c r="J163" s="733">
        <f t="shared" si="11"/>
        <v>457.2</v>
      </c>
      <c r="K163" s="763">
        <f t="shared" si="11"/>
        <v>914.4</v>
      </c>
      <c r="L163" s="761">
        <f t="shared" si="11"/>
        <v>161.92499999999998</v>
      </c>
      <c r="M163" s="761">
        <f t="shared" si="11"/>
        <v>327.02499999999998</v>
      </c>
      <c r="N163" s="761">
        <f t="shared" si="11"/>
        <v>0</v>
      </c>
      <c r="O163" s="761">
        <f t="shared" si="11"/>
        <v>276.22499999999997</v>
      </c>
      <c r="P163" s="761">
        <f t="shared" si="11"/>
        <v>774.69999999999993</v>
      </c>
      <c r="Q163" s="775" t="s">
        <v>8</v>
      </c>
    </row>
    <row r="164" spans="1:17" x14ac:dyDescent="0.2">
      <c r="A164" s="735">
        <v>20</v>
      </c>
      <c r="B164" s="758">
        <v>38.75</v>
      </c>
      <c r="C164" s="758">
        <v>7</v>
      </c>
      <c r="D164" s="758">
        <v>14</v>
      </c>
      <c r="E164" s="782"/>
      <c r="F164" s="759">
        <v>11.5</v>
      </c>
      <c r="G164" s="759">
        <v>32.75</v>
      </c>
      <c r="H164" s="775" t="s">
        <v>9</v>
      </c>
      <c r="J164" s="733">
        <f t="shared" si="11"/>
        <v>508</v>
      </c>
      <c r="K164" s="763">
        <f t="shared" si="11"/>
        <v>984.25</v>
      </c>
      <c r="L164" s="761">
        <f t="shared" si="11"/>
        <v>177.79999999999998</v>
      </c>
      <c r="M164" s="761">
        <f t="shared" si="11"/>
        <v>355.59999999999997</v>
      </c>
      <c r="N164" s="761">
        <f t="shared" si="11"/>
        <v>0</v>
      </c>
      <c r="O164" s="761">
        <f t="shared" si="11"/>
        <v>292.09999999999997</v>
      </c>
      <c r="P164" s="761">
        <f t="shared" si="11"/>
        <v>831.84999999999991</v>
      </c>
      <c r="Q164" s="775" t="s">
        <v>10</v>
      </c>
    </row>
    <row r="165" spans="1:17" ht="13.5" thickBot="1" x14ac:dyDescent="0.25">
      <c r="A165" s="744">
        <v>24</v>
      </c>
      <c r="B165" s="766">
        <v>46</v>
      </c>
      <c r="C165" s="765">
        <v>8</v>
      </c>
      <c r="D165" s="766">
        <v>16</v>
      </c>
      <c r="E165" s="783"/>
      <c r="F165" s="766">
        <v>13</v>
      </c>
      <c r="G165" s="766">
        <v>39</v>
      </c>
      <c r="H165" s="777" t="s">
        <v>11</v>
      </c>
      <c r="J165" s="742">
        <f t="shared" si="11"/>
        <v>609.59999999999991</v>
      </c>
      <c r="K165" s="768">
        <f t="shared" si="11"/>
        <v>1168.3999999999999</v>
      </c>
      <c r="L165" s="768">
        <f t="shared" si="11"/>
        <v>203.2</v>
      </c>
      <c r="M165" s="768">
        <f t="shared" si="11"/>
        <v>406.4</v>
      </c>
      <c r="N165" s="768">
        <f t="shared" si="11"/>
        <v>0</v>
      </c>
      <c r="O165" s="768">
        <f t="shared" si="11"/>
        <v>330.2</v>
      </c>
      <c r="P165" s="768">
        <f t="shared" si="11"/>
        <v>990.59999999999991</v>
      </c>
      <c r="Q165" s="777" t="s">
        <v>12</v>
      </c>
    </row>
    <row r="166" spans="1:17" ht="13.5" thickTop="1" x14ac:dyDescent="0.2"/>
  </sheetData>
  <sheetProtection password="CDD2" sheet="1" objects="1" scenarios="1"/>
  <pageMargins left="0.75" right="0.75" top="1" bottom="1" header="0.5" footer="0.5"/>
  <pageSetup orientation="portrait" verticalDpi="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M188"/>
  <sheetViews>
    <sheetView showGridLines="0" workbookViewId="0"/>
  </sheetViews>
  <sheetFormatPr defaultRowHeight="12.75" x14ac:dyDescent="0.2"/>
  <cols>
    <col min="6" max="6" width="10.7109375" customWidth="1"/>
    <col min="13" max="13" width="10.5703125" customWidth="1"/>
  </cols>
  <sheetData>
    <row r="3" spans="1:13" ht="20.25" x14ac:dyDescent="0.3">
      <c r="D3" s="719"/>
      <c r="E3" s="720" t="s">
        <v>1898</v>
      </c>
    </row>
    <row r="4" spans="1:13" ht="16.5" thickBot="1" x14ac:dyDescent="0.3">
      <c r="C4" s="35" t="s">
        <v>1805</v>
      </c>
      <c r="J4" s="35" t="s">
        <v>1806</v>
      </c>
    </row>
    <row r="5" spans="1:13" ht="13.5" thickTop="1" x14ac:dyDescent="0.2">
      <c r="A5" s="502" t="s">
        <v>1867</v>
      </c>
      <c r="B5" s="721" t="s">
        <v>1899</v>
      </c>
      <c r="C5" s="721" t="s">
        <v>1899</v>
      </c>
      <c r="D5" s="721" t="s">
        <v>1899</v>
      </c>
      <c r="E5" s="721" t="s">
        <v>1899</v>
      </c>
      <c r="F5" s="721" t="s">
        <v>1899</v>
      </c>
      <c r="G5" s="464"/>
      <c r="H5" s="502" t="s">
        <v>1867</v>
      </c>
      <c r="I5" s="721" t="s">
        <v>1899</v>
      </c>
      <c r="J5" s="721" t="s">
        <v>1899</v>
      </c>
      <c r="K5" s="721" t="s">
        <v>1899</v>
      </c>
      <c r="L5" s="721" t="s">
        <v>1899</v>
      </c>
      <c r="M5" s="721" t="s">
        <v>1899</v>
      </c>
    </row>
    <row r="6" spans="1:13" x14ac:dyDescent="0.2">
      <c r="A6" s="510" t="s">
        <v>1556</v>
      </c>
      <c r="B6" s="513" t="s">
        <v>1900</v>
      </c>
      <c r="C6" s="513" t="s">
        <v>1901</v>
      </c>
      <c r="D6" s="513" t="s">
        <v>1902</v>
      </c>
      <c r="E6" s="513" t="s">
        <v>1903</v>
      </c>
      <c r="F6" s="513" t="s">
        <v>1904</v>
      </c>
      <c r="G6" s="464"/>
      <c r="H6" s="510" t="s">
        <v>1556</v>
      </c>
      <c r="I6" s="513" t="s">
        <v>1900</v>
      </c>
      <c r="J6" s="513" t="s">
        <v>1901</v>
      </c>
      <c r="K6" s="513" t="s">
        <v>1902</v>
      </c>
      <c r="L6" s="513" t="s">
        <v>1903</v>
      </c>
      <c r="M6" s="513" t="s">
        <v>1904</v>
      </c>
    </row>
    <row r="7" spans="1:13" x14ac:dyDescent="0.2">
      <c r="A7" s="510" t="s">
        <v>894</v>
      </c>
      <c r="B7" s="513" t="s">
        <v>1905</v>
      </c>
      <c r="C7" s="513" t="s">
        <v>1905</v>
      </c>
      <c r="D7" s="513" t="s">
        <v>1905</v>
      </c>
      <c r="E7" s="513" t="s">
        <v>1905</v>
      </c>
      <c r="F7" s="513" t="s">
        <v>1905</v>
      </c>
      <c r="G7" s="464"/>
      <c r="H7" s="510" t="s">
        <v>894</v>
      </c>
      <c r="I7" s="513" t="s">
        <v>1905</v>
      </c>
      <c r="J7" s="513" t="s">
        <v>1905</v>
      </c>
      <c r="K7" s="513" t="s">
        <v>1905</v>
      </c>
      <c r="L7" s="513" t="s">
        <v>1905</v>
      </c>
      <c r="M7" s="513" t="s">
        <v>1905</v>
      </c>
    </row>
    <row r="8" spans="1:13" ht="13.5" thickBot="1" x14ac:dyDescent="0.25">
      <c r="A8" s="517" t="s">
        <v>1802</v>
      </c>
      <c r="B8" s="718" t="s">
        <v>1906</v>
      </c>
      <c r="C8" s="718" t="s">
        <v>1906</v>
      </c>
      <c r="D8" s="718" t="s">
        <v>1906</v>
      </c>
      <c r="E8" s="718" t="s">
        <v>1906</v>
      </c>
      <c r="F8" s="718" t="s">
        <v>1906</v>
      </c>
      <c r="G8" s="464"/>
      <c r="H8" s="517" t="s">
        <v>1803</v>
      </c>
      <c r="I8" s="517" t="s">
        <v>1840</v>
      </c>
      <c r="J8" s="517" t="s">
        <v>1840</v>
      </c>
      <c r="K8" s="517" t="s">
        <v>1840</v>
      </c>
      <c r="L8" s="517" t="s">
        <v>1840</v>
      </c>
      <c r="M8" s="517" t="s">
        <v>1840</v>
      </c>
    </row>
    <row r="9" spans="1:13" ht="13.5" thickTop="1" x14ac:dyDescent="0.2">
      <c r="A9" s="722">
        <v>0.5</v>
      </c>
      <c r="B9" s="723">
        <v>2</v>
      </c>
      <c r="C9" s="724">
        <v>1</v>
      </c>
      <c r="D9" s="725">
        <v>1</v>
      </c>
      <c r="E9" s="724">
        <v>1</v>
      </c>
      <c r="F9" s="726">
        <v>2</v>
      </c>
      <c r="H9" s="727">
        <f>A9*25.4</f>
        <v>12.7</v>
      </c>
      <c r="I9" s="728">
        <f>B9*0.4535924</f>
        <v>0.90718480000000001</v>
      </c>
      <c r="J9" s="728">
        <f>C9*0.4535924</f>
        <v>0.45359240000000001</v>
      </c>
      <c r="K9" s="728">
        <f>D9*0.4535924</f>
        <v>0.45359240000000001</v>
      </c>
      <c r="L9" s="728">
        <f>E9*0.4535924</f>
        <v>0.45359240000000001</v>
      </c>
      <c r="M9" s="728">
        <f>F9*0.4535924</f>
        <v>0.90718480000000001</v>
      </c>
    </row>
    <row r="10" spans="1:13" x14ac:dyDescent="0.2">
      <c r="A10" s="729">
        <v>0.75</v>
      </c>
      <c r="B10" s="730">
        <v>2</v>
      </c>
      <c r="C10" s="731">
        <v>1.5</v>
      </c>
      <c r="D10" s="76">
        <v>1.5</v>
      </c>
      <c r="E10" s="731">
        <v>1.5</v>
      </c>
      <c r="F10" s="732">
        <v>2</v>
      </c>
      <c r="H10" s="733">
        <f>A10*25.4</f>
        <v>19.049999999999997</v>
      </c>
      <c r="I10" s="734">
        <f t="shared" ref="I10:M13" si="0">B10*0.4535924</f>
        <v>0.90718480000000001</v>
      </c>
      <c r="J10" s="734">
        <f t="shared" si="0"/>
        <v>0.68038860000000001</v>
      </c>
      <c r="K10" s="734">
        <f t="shared" si="0"/>
        <v>0.68038860000000001</v>
      </c>
      <c r="L10" s="734">
        <f t="shared" si="0"/>
        <v>0.68038860000000001</v>
      </c>
      <c r="M10" s="734">
        <f t="shared" si="0"/>
        <v>0.90718480000000001</v>
      </c>
    </row>
    <row r="11" spans="1:13" x14ac:dyDescent="0.2">
      <c r="A11" s="735">
        <v>1</v>
      </c>
      <c r="B11" s="730">
        <v>2.5</v>
      </c>
      <c r="C11" s="731">
        <v>2</v>
      </c>
      <c r="D11" s="76">
        <v>2</v>
      </c>
      <c r="E11" s="731">
        <v>2</v>
      </c>
      <c r="F11" s="732">
        <v>2</v>
      </c>
      <c r="H11" s="733">
        <f>A11*25.4</f>
        <v>25.4</v>
      </c>
      <c r="I11" s="734">
        <f t="shared" si="0"/>
        <v>1.1339809999999999</v>
      </c>
      <c r="J11" s="734">
        <f t="shared" si="0"/>
        <v>0.90718480000000001</v>
      </c>
      <c r="K11" s="734">
        <f t="shared" si="0"/>
        <v>0.90718480000000001</v>
      </c>
      <c r="L11" s="734">
        <f t="shared" si="0"/>
        <v>0.90718480000000001</v>
      </c>
      <c r="M11" s="734">
        <f t="shared" si="0"/>
        <v>0.90718480000000001</v>
      </c>
    </row>
    <row r="12" spans="1:13" x14ac:dyDescent="0.2">
      <c r="A12" s="736">
        <v>1.25</v>
      </c>
      <c r="B12" s="730">
        <v>2.5</v>
      </c>
      <c r="C12" s="731">
        <v>2.5</v>
      </c>
      <c r="D12" s="76">
        <v>2.5</v>
      </c>
      <c r="E12" s="731">
        <v>2.5</v>
      </c>
      <c r="F12" s="732">
        <v>3</v>
      </c>
      <c r="H12" s="733">
        <f>A12*25.4</f>
        <v>31.75</v>
      </c>
      <c r="I12" s="734">
        <f t="shared" si="0"/>
        <v>1.1339809999999999</v>
      </c>
      <c r="J12" s="734">
        <f t="shared" si="0"/>
        <v>1.1339809999999999</v>
      </c>
      <c r="K12" s="734">
        <f t="shared" si="0"/>
        <v>1.1339809999999999</v>
      </c>
      <c r="L12" s="734">
        <f t="shared" si="0"/>
        <v>1.1339809999999999</v>
      </c>
      <c r="M12" s="734">
        <f t="shared" si="0"/>
        <v>1.3607772</v>
      </c>
    </row>
    <row r="13" spans="1:13" ht="13.5" thickBot="1" x14ac:dyDescent="0.25">
      <c r="A13" s="737">
        <v>1.5</v>
      </c>
      <c r="B13" s="738">
        <v>4</v>
      </c>
      <c r="C13" s="739">
        <v>3</v>
      </c>
      <c r="D13" s="740">
        <v>3</v>
      </c>
      <c r="E13" s="739">
        <v>3</v>
      </c>
      <c r="F13" s="741">
        <v>3</v>
      </c>
      <c r="H13" s="742">
        <f>A13*25.4</f>
        <v>38.099999999999994</v>
      </c>
      <c r="I13" s="734">
        <f t="shared" si="0"/>
        <v>1.8143696</v>
      </c>
      <c r="J13" s="734">
        <f t="shared" si="0"/>
        <v>1.3607772</v>
      </c>
      <c r="K13" s="734">
        <f t="shared" si="0"/>
        <v>1.3607772</v>
      </c>
      <c r="L13" s="734">
        <f t="shared" si="0"/>
        <v>1.3607772</v>
      </c>
      <c r="M13" s="734">
        <f t="shared" si="0"/>
        <v>1.3607772</v>
      </c>
    </row>
    <row r="14" spans="1:13" ht="13.5" thickTop="1" x14ac:dyDescent="0.2">
      <c r="A14" s="743">
        <v>2</v>
      </c>
      <c r="B14" s="723">
        <v>6</v>
      </c>
      <c r="C14" s="724">
        <v>5</v>
      </c>
      <c r="D14" s="725">
        <v>5</v>
      </c>
      <c r="E14" s="724">
        <v>5</v>
      </c>
      <c r="F14" s="726">
        <v>4</v>
      </c>
      <c r="H14" s="727">
        <f>A15*25.4</f>
        <v>63.5</v>
      </c>
      <c r="I14" s="728">
        <f>B14*0.4535924</f>
        <v>2.7215544</v>
      </c>
      <c r="J14" s="728">
        <f>C14*0.4535924</f>
        <v>2.2679619999999998</v>
      </c>
      <c r="K14" s="728">
        <f>D14*0.4535924</f>
        <v>2.2679619999999998</v>
      </c>
      <c r="L14" s="728">
        <f>E14*0.4535924</f>
        <v>2.2679619999999998</v>
      </c>
      <c r="M14" s="728">
        <f>F14*0.4535924</f>
        <v>1.8143696</v>
      </c>
    </row>
    <row r="15" spans="1:13" x14ac:dyDescent="0.2">
      <c r="A15" s="736">
        <v>2.5</v>
      </c>
      <c r="B15" s="730">
        <v>10</v>
      </c>
      <c r="C15" s="731">
        <v>8</v>
      </c>
      <c r="D15" s="76">
        <v>8</v>
      </c>
      <c r="E15" s="731">
        <v>8</v>
      </c>
      <c r="F15" s="732">
        <v>7</v>
      </c>
      <c r="H15" s="733">
        <f>A15*25.4</f>
        <v>63.5</v>
      </c>
      <c r="I15" s="734">
        <f t="shared" ref="I15:M18" si="1">B15*0.4535924</f>
        <v>4.5359239999999996</v>
      </c>
      <c r="J15" s="734">
        <f t="shared" si="1"/>
        <v>3.6287392000000001</v>
      </c>
      <c r="K15" s="734">
        <f t="shared" si="1"/>
        <v>3.6287392000000001</v>
      </c>
      <c r="L15" s="734">
        <f t="shared" si="1"/>
        <v>3.6287392000000001</v>
      </c>
      <c r="M15" s="734">
        <f t="shared" si="1"/>
        <v>3.1751468000000003</v>
      </c>
    </row>
    <row r="16" spans="1:13" x14ac:dyDescent="0.2">
      <c r="A16" s="735">
        <v>3</v>
      </c>
      <c r="B16" s="730">
        <v>11.5</v>
      </c>
      <c r="C16" s="731">
        <v>9</v>
      </c>
      <c r="D16" s="76">
        <v>10</v>
      </c>
      <c r="E16" s="731">
        <v>9</v>
      </c>
      <c r="F16" s="732">
        <v>9</v>
      </c>
      <c r="H16" s="733">
        <f>A16*25.4</f>
        <v>76.199999999999989</v>
      </c>
      <c r="I16" s="734">
        <f t="shared" si="1"/>
        <v>5.2163126000000002</v>
      </c>
      <c r="J16" s="734">
        <f t="shared" si="1"/>
        <v>4.0823315999999998</v>
      </c>
      <c r="K16" s="734">
        <f t="shared" si="1"/>
        <v>4.5359239999999996</v>
      </c>
      <c r="L16" s="734">
        <f t="shared" si="1"/>
        <v>4.0823315999999998</v>
      </c>
      <c r="M16" s="734">
        <f t="shared" si="1"/>
        <v>4.0823315999999998</v>
      </c>
    </row>
    <row r="17" spans="1:13" x14ac:dyDescent="0.2">
      <c r="A17" s="736">
        <v>3.5</v>
      </c>
      <c r="B17" s="730">
        <v>12</v>
      </c>
      <c r="C17" s="731">
        <v>11</v>
      </c>
      <c r="D17" s="76">
        <v>12</v>
      </c>
      <c r="E17" s="731">
        <v>11</v>
      </c>
      <c r="F17" s="732">
        <v>13</v>
      </c>
      <c r="H17" s="733">
        <f>A17*25.4</f>
        <v>88.899999999999991</v>
      </c>
      <c r="I17" s="734">
        <f t="shared" si="1"/>
        <v>5.4431088000000001</v>
      </c>
      <c r="J17" s="734">
        <f t="shared" si="1"/>
        <v>4.9895164000000003</v>
      </c>
      <c r="K17" s="734">
        <f t="shared" si="1"/>
        <v>5.4431088000000001</v>
      </c>
      <c r="L17" s="734">
        <f t="shared" si="1"/>
        <v>4.9895164000000003</v>
      </c>
      <c r="M17" s="734">
        <f t="shared" si="1"/>
        <v>5.8967011999999999</v>
      </c>
    </row>
    <row r="18" spans="1:13" ht="13.5" thickBot="1" x14ac:dyDescent="0.25">
      <c r="A18" s="744">
        <v>4</v>
      </c>
      <c r="B18" s="738">
        <v>16.5</v>
      </c>
      <c r="C18" s="739">
        <v>13</v>
      </c>
      <c r="D18" s="740">
        <v>13</v>
      </c>
      <c r="E18" s="739">
        <v>12</v>
      </c>
      <c r="F18" s="741">
        <v>17</v>
      </c>
      <c r="H18" s="742">
        <f>A18*25.4</f>
        <v>101.6</v>
      </c>
      <c r="I18" s="734">
        <f t="shared" si="1"/>
        <v>7.4842746</v>
      </c>
      <c r="J18" s="734">
        <f t="shared" si="1"/>
        <v>5.8967011999999999</v>
      </c>
      <c r="K18" s="734">
        <f t="shared" si="1"/>
        <v>5.8967011999999999</v>
      </c>
      <c r="L18" s="734">
        <f t="shared" si="1"/>
        <v>5.4431088000000001</v>
      </c>
      <c r="M18" s="734">
        <f t="shared" si="1"/>
        <v>7.7110707999999999</v>
      </c>
    </row>
    <row r="19" spans="1:13" ht="13.5" thickTop="1" x14ac:dyDescent="0.2">
      <c r="A19" s="743">
        <v>5</v>
      </c>
      <c r="B19" s="723">
        <v>21</v>
      </c>
      <c r="C19" s="724">
        <v>15</v>
      </c>
      <c r="D19" s="725">
        <v>15</v>
      </c>
      <c r="E19" s="724">
        <v>13</v>
      </c>
      <c r="F19" s="726">
        <v>20</v>
      </c>
      <c r="H19" s="727">
        <f>A20*25.4</f>
        <v>152.39999999999998</v>
      </c>
      <c r="I19" s="728">
        <f>B19*0.4535924</f>
        <v>9.5254404000000008</v>
      </c>
      <c r="J19" s="728">
        <f>C19*0.4535924</f>
        <v>6.8038860000000003</v>
      </c>
      <c r="K19" s="728">
        <f>D19*0.4535924</f>
        <v>6.8038860000000003</v>
      </c>
      <c r="L19" s="728">
        <f>E19*0.4535924</f>
        <v>5.8967011999999999</v>
      </c>
      <c r="M19" s="728">
        <f>F19*0.4535924</f>
        <v>9.0718479999999992</v>
      </c>
    </row>
    <row r="20" spans="1:13" x14ac:dyDescent="0.2">
      <c r="A20" s="735">
        <v>6</v>
      </c>
      <c r="B20" s="730">
        <v>26</v>
      </c>
      <c r="C20" s="731">
        <v>17</v>
      </c>
      <c r="D20" s="76">
        <v>19.5</v>
      </c>
      <c r="E20" s="731">
        <v>18</v>
      </c>
      <c r="F20" s="732">
        <v>27</v>
      </c>
      <c r="H20" s="733">
        <f>A20*25.4</f>
        <v>152.39999999999998</v>
      </c>
      <c r="I20" s="734">
        <f t="shared" ref="I20:M23" si="2">B20*0.4535924</f>
        <v>11.7934024</v>
      </c>
      <c r="J20" s="734">
        <f t="shared" si="2"/>
        <v>7.7110707999999999</v>
      </c>
      <c r="K20" s="734">
        <f t="shared" si="2"/>
        <v>8.8450518000000002</v>
      </c>
      <c r="L20" s="734">
        <f t="shared" si="2"/>
        <v>8.1646631999999997</v>
      </c>
      <c r="M20" s="734">
        <f t="shared" si="2"/>
        <v>12.2469948</v>
      </c>
    </row>
    <row r="21" spans="1:13" x14ac:dyDescent="0.2">
      <c r="A21" s="735">
        <v>8</v>
      </c>
      <c r="B21" s="730">
        <v>42</v>
      </c>
      <c r="C21" s="731">
        <v>28</v>
      </c>
      <c r="D21" s="76">
        <v>30</v>
      </c>
      <c r="E21" s="731">
        <v>28</v>
      </c>
      <c r="F21" s="732">
        <v>47</v>
      </c>
      <c r="H21" s="733">
        <f>A21*25.4</f>
        <v>203.2</v>
      </c>
      <c r="I21" s="734">
        <f t="shared" si="2"/>
        <v>19.050880800000002</v>
      </c>
      <c r="J21" s="734">
        <f t="shared" si="2"/>
        <v>12.700587200000001</v>
      </c>
      <c r="K21" s="734">
        <f t="shared" si="2"/>
        <v>13.607772000000001</v>
      </c>
      <c r="L21" s="734">
        <f t="shared" si="2"/>
        <v>12.700587200000001</v>
      </c>
      <c r="M21" s="734">
        <f t="shared" si="2"/>
        <v>21.318842799999999</v>
      </c>
    </row>
    <row r="22" spans="1:13" x14ac:dyDescent="0.2">
      <c r="A22" s="735">
        <v>10</v>
      </c>
      <c r="B22" s="730">
        <v>54</v>
      </c>
      <c r="C22" s="731">
        <v>40</v>
      </c>
      <c r="D22" s="76">
        <v>41</v>
      </c>
      <c r="E22" s="731">
        <v>36</v>
      </c>
      <c r="F22" s="732">
        <v>67</v>
      </c>
      <c r="H22" s="733">
        <f>A22*25.4</f>
        <v>254</v>
      </c>
      <c r="I22" s="734">
        <f t="shared" si="2"/>
        <v>24.493989599999999</v>
      </c>
      <c r="J22" s="734">
        <f t="shared" si="2"/>
        <v>18.143695999999998</v>
      </c>
      <c r="K22" s="734">
        <f t="shared" si="2"/>
        <v>18.5972884</v>
      </c>
      <c r="L22" s="734">
        <f t="shared" si="2"/>
        <v>16.329326399999999</v>
      </c>
      <c r="M22" s="734">
        <f t="shared" si="2"/>
        <v>30.390690800000002</v>
      </c>
    </row>
    <row r="23" spans="1:13" ht="13.5" thickBot="1" x14ac:dyDescent="0.25">
      <c r="A23" s="744">
        <v>12</v>
      </c>
      <c r="B23" s="738">
        <v>88</v>
      </c>
      <c r="C23" s="739">
        <v>61</v>
      </c>
      <c r="D23" s="740">
        <v>65</v>
      </c>
      <c r="E23" s="739">
        <v>60</v>
      </c>
      <c r="F23" s="741">
        <v>102</v>
      </c>
      <c r="H23" s="742">
        <f>A23*25.4</f>
        <v>304.79999999999995</v>
      </c>
      <c r="I23" s="734">
        <f t="shared" si="2"/>
        <v>39.916131200000002</v>
      </c>
      <c r="J23" s="734">
        <f t="shared" si="2"/>
        <v>27.669136399999999</v>
      </c>
      <c r="K23" s="734">
        <f t="shared" si="2"/>
        <v>29.483506000000002</v>
      </c>
      <c r="L23" s="734">
        <f t="shared" si="2"/>
        <v>27.215544000000001</v>
      </c>
      <c r="M23" s="734">
        <f t="shared" si="2"/>
        <v>46.266424800000003</v>
      </c>
    </row>
    <row r="24" spans="1:13" ht="13.5" thickTop="1" x14ac:dyDescent="0.2">
      <c r="A24" s="743">
        <v>14</v>
      </c>
      <c r="B24" s="723">
        <v>114</v>
      </c>
      <c r="C24" s="724">
        <v>83</v>
      </c>
      <c r="D24" s="725">
        <v>85</v>
      </c>
      <c r="E24" s="724">
        <v>77</v>
      </c>
      <c r="F24" s="726">
        <v>139</v>
      </c>
      <c r="H24" s="727">
        <f>A25*25.4</f>
        <v>406.4</v>
      </c>
      <c r="I24" s="728">
        <f>B24*0.4535924</f>
        <v>51.7095336</v>
      </c>
      <c r="J24" s="728">
        <f>C24*0.4535924</f>
        <v>37.648169199999998</v>
      </c>
      <c r="K24" s="728">
        <f>D24*0.4535924</f>
        <v>38.555354000000001</v>
      </c>
      <c r="L24" s="728">
        <f>E24*0.4535924</f>
        <v>34.926614800000003</v>
      </c>
      <c r="M24" s="728">
        <f>F24*0.4535924</f>
        <v>63.0493436</v>
      </c>
    </row>
    <row r="25" spans="1:13" x14ac:dyDescent="0.2">
      <c r="A25" s="735">
        <v>16</v>
      </c>
      <c r="B25" s="730">
        <v>142</v>
      </c>
      <c r="C25" s="731">
        <v>106</v>
      </c>
      <c r="D25" s="76">
        <v>93</v>
      </c>
      <c r="E25" s="731">
        <v>104</v>
      </c>
      <c r="F25" s="732">
        <v>187</v>
      </c>
      <c r="H25" s="733">
        <f>A25*25.4</f>
        <v>406.4</v>
      </c>
      <c r="I25" s="734">
        <f t="shared" ref="I25:M28" si="3">B25*0.4535924</f>
        <v>64.410120800000001</v>
      </c>
      <c r="J25" s="734">
        <f t="shared" si="3"/>
        <v>48.080794400000002</v>
      </c>
      <c r="K25" s="734">
        <f t="shared" si="3"/>
        <v>42.1840932</v>
      </c>
      <c r="L25" s="734">
        <f t="shared" si="3"/>
        <v>47.173609599999999</v>
      </c>
      <c r="M25" s="734">
        <f t="shared" si="3"/>
        <v>84.821778800000004</v>
      </c>
    </row>
    <row r="26" spans="1:13" x14ac:dyDescent="0.2">
      <c r="A26" s="735">
        <v>18</v>
      </c>
      <c r="B26" s="730">
        <v>165</v>
      </c>
      <c r="C26" s="731">
        <v>109</v>
      </c>
      <c r="D26" s="76">
        <v>120</v>
      </c>
      <c r="E26" s="731">
        <v>146</v>
      </c>
      <c r="F26" s="732">
        <v>217</v>
      </c>
      <c r="H26" s="733">
        <f>A26*25.4</f>
        <v>457.2</v>
      </c>
      <c r="I26" s="734">
        <f t="shared" si="3"/>
        <v>74.842746000000005</v>
      </c>
      <c r="J26" s="734">
        <f t="shared" si="3"/>
        <v>49.441571600000003</v>
      </c>
      <c r="K26" s="734">
        <f t="shared" si="3"/>
        <v>54.431088000000003</v>
      </c>
      <c r="L26" s="734">
        <f t="shared" si="3"/>
        <v>66.224490400000008</v>
      </c>
      <c r="M26" s="734">
        <f t="shared" si="3"/>
        <v>98.429550800000001</v>
      </c>
    </row>
    <row r="27" spans="1:13" x14ac:dyDescent="0.2">
      <c r="A27" s="735">
        <v>20</v>
      </c>
      <c r="B27" s="730">
        <v>197</v>
      </c>
      <c r="C27" s="731">
        <v>148</v>
      </c>
      <c r="D27" s="76">
        <v>155</v>
      </c>
      <c r="E27" s="731">
        <v>159</v>
      </c>
      <c r="F27" s="732">
        <v>283</v>
      </c>
      <c r="H27" s="733">
        <f>A27*25.4</f>
        <v>508</v>
      </c>
      <c r="I27" s="734">
        <f t="shared" si="3"/>
        <v>89.357702799999998</v>
      </c>
      <c r="J27" s="734">
        <f t="shared" si="3"/>
        <v>67.131675200000004</v>
      </c>
      <c r="K27" s="734">
        <f t="shared" si="3"/>
        <v>70.306821999999997</v>
      </c>
      <c r="L27" s="734">
        <f t="shared" si="3"/>
        <v>72.121191600000003</v>
      </c>
      <c r="M27" s="734">
        <f t="shared" si="3"/>
        <v>128.36664920000001</v>
      </c>
    </row>
    <row r="28" spans="1:13" ht="13.5" thickBot="1" x14ac:dyDescent="0.25">
      <c r="A28" s="744">
        <v>24</v>
      </c>
      <c r="B28" s="738">
        <v>268</v>
      </c>
      <c r="C28" s="739">
        <v>204</v>
      </c>
      <c r="D28" s="740">
        <v>210</v>
      </c>
      <c r="E28" s="739">
        <v>195</v>
      </c>
      <c r="F28" s="741">
        <v>415</v>
      </c>
      <c r="H28" s="742">
        <f>A28*25.4</f>
        <v>609.59999999999991</v>
      </c>
      <c r="I28" s="745">
        <f t="shared" si="3"/>
        <v>121.56276320000001</v>
      </c>
      <c r="J28" s="745">
        <f t="shared" si="3"/>
        <v>92.532849600000006</v>
      </c>
      <c r="K28" s="745">
        <f t="shared" si="3"/>
        <v>95.254404000000008</v>
      </c>
      <c r="L28" s="745">
        <f t="shared" si="3"/>
        <v>88.450518000000002</v>
      </c>
      <c r="M28" s="745">
        <f t="shared" si="3"/>
        <v>188.240846</v>
      </c>
    </row>
    <row r="29" spans="1:13" ht="13.5" thickTop="1" x14ac:dyDescent="0.2"/>
    <row r="30" spans="1:13" ht="20.25" x14ac:dyDescent="0.3">
      <c r="D30" s="719"/>
      <c r="E30" s="720" t="s">
        <v>1907</v>
      </c>
    </row>
    <row r="31" spans="1:13" ht="16.5" thickBot="1" x14ac:dyDescent="0.3">
      <c r="C31" s="35" t="s">
        <v>1805</v>
      </c>
      <c r="J31" s="35" t="s">
        <v>1806</v>
      </c>
    </row>
    <row r="32" spans="1:13" ht="13.5" thickTop="1" x14ac:dyDescent="0.2">
      <c r="A32" s="502" t="s">
        <v>1867</v>
      </c>
      <c r="B32" s="721" t="s">
        <v>1908</v>
      </c>
      <c r="C32" s="721" t="s">
        <v>1908</v>
      </c>
      <c r="D32" s="721" t="s">
        <v>1908</v>
      </c>
      <c r="E32" s="721" t="s">
        <v>1908</v>
      </c>
      <c r="F32" s="721" t="s">
        <v>1908</v>
      </c>
      <c r="G32" s="464"/>
      <c r="H32" s="502" t="s">
        <v>1867</v>
      </c>
      <c r="I32" s="721" t="s">
        <v>1908</v>
      </c>
      <c r="J32" s="721" t="s">
        <v>1908</v>
      </c>
      <c r="K32" s="721" t="s">
        <v>1908</v>
      </c>
      <c r="L32" s="721" t="s">
        <v>1908</v>
      </c>
      <c r="M32" s="721" t="s">
        <v>1908</v>
      </c>
    </row>
    <row r="33" spans="1:13" x14ac:dyDescent="0.2">
      <c r="A33" s="510" t="s">
        <v>1556</v>
      </c>
      <c r="B33" s="513" t="s">
        <v>1900</v>
      </c>
      <c r="C33" s="513" t="s">
        <v>1901</v>
      </c>
      <c r="D33" s="513" t="s">
        <v>1902</v>
      </c>
      <c r="E33" s="513" t="s">
        <v>1903</v>
      </c>
      <c r="F33" s="513" t="s">
        <v>1904</v>
      </c>
      <c r="G33" s="464"/>
      <c r="H33" s="510" t="s">
        <v>1556</v>
      </c>
      <c r="I33" s="513" t="s">
        <v>1900</v>
      </c>
      <c r="J33" s="513" t="s">
        <v>1901</v>
      </c>
      <c r="K33" s="513" t="s">
        <v>1902</v>
      </c>
      <c r="L33" s="513" t="s">
        <v>1903</v>
      </c>
      <c r="M33" s="513" t="s">
        <v>1904</v>
      </c>
    </row>
    <row r="34" spans="1:13" x14ac:dyDescent="0.2">
      <c r="A34" s="510" t="s">
        <v>894</v>
      </c>
      <c r="B34" s="513" t="s">
        <v>1905</v>
      </c>
      <c r="C34" s="513" t="s">
        <v>1905</v>
      </c>
      <c r="D34" s="513" t="s">
        <v>1905</v>
      </c>
      <c r="E34" s="513" t="s">
        <v>1905</v>
      </c>
      <c r="F34" s="513" t="s">
        <v>1905</v>
      </c>
      <c r="G34" s="464"/>
      <c r="H34" s="510" t="s">
        <v>894</v>
      </c>
      <c r="I34" s="513" t="s">
        <v>1905</v>
      </c>
      <c r="J34" s="513" t="s">
        <v>1905</v>
      </c>
      <c r="K34" s="513" t="s">
        <v>1905</v>
      </c>
      <c r="L34" s="513" t="s">
        <v>1905</v>
      </c>
      <c r="M34" s="513" t="s">
        <v>1905</v>
      </c>
    </row>
    <row r="35" spans="1:13" ht="13.5" thickBot="1" x14ac:dyDescent="0.25">
      <c r="A35" s="517" t="s">
        <v>1802</v>
      </c>
      <c r="B35" s="718" t="s">
        <v>1906</v>
      </c>
      <c r="C35" s="718" t="s">
        <v>1906</v>
      </c>
      <c r="D35" s="718" t="s">
        <v>1906</v>
      </c>
      <c r="E35" s="718" t="s">
        <v>1906</v>
      </c>
      <c r="F35" s="718" t="s">
        <v>1906</v>
      </c>
      <c r="G35" s="464"/>
      <c r="H35" s="517" t="s">
        <v>1803</v>
      </c>
      <c r="I35" s="517" t="s">
        <v>1840</v>
      </c>
      <c r="J35" s="517" t="s">
        <v>1840</v>
      </c>
      <c r="K35" s="517" t="s">
        <v>1840</v>
      </c>
      <c r="L35" s="517" t="s">
        <v>1840</v>
      </c>
      <c r="M35" s="517" t="s">
        <v>1840</v>
      </c>
    </row>
    <row r="36" spans="1:13" ht="13.5" thickTop="1" x14ac:dyDescent="0.2">
      <c r="A36" s="722">
        <v>0.5</v>
      </c>
      <c r="B36" s="723">
        <v>2</v>
      </c>
      <c r="C36" s="724">
        <v>1.5</v>
      </c>
      <c r="D36" s="725">
        <v>1.5</v>
      </c>
      <c r="E36" s="724">
        <v>1.5</v>
      </c>
      <c r="F36" s="726">
        <v>2</v>
      </c>
      <c r="H36" s="727">
        <f>A36*25.4</f>
        <v>12.7</v>
      </c>
      <c r="I36" s="728">
        <f>B36*0.4535924</f>
        <v>0.90718480000000001</v>
      </c>
      <c r="J36" s="728">
        <f>C36*0.4535924</f>
        <v>0.68038860000000001</v>
      </c>
      <c r="K36" s="728">
        <f>D36*0.4535924</f>
        <v>0.68038860000000001</v>
      </c>
      <c r="L36" s="728">
        <f>E36*0.4535924</f>
        <v>0.68038860000000001</v>
      </c>
      <c r="M36" s="728">
        <f>F36*0.4535924</f>
        <v>0.90718480000000001</v>
      </c>
    </row>
    <row r="37" spans="1:13" x14ac:dyDescent="0.2">
      <c r="A37" s="729">
        <v>0.75</v>
      </c>
      <c r="B37" s="730">
        <v>3</v>
      </c>
      <c r="C37" s="731">
        <v>2.5</v>
      </c>
      <c r="D37" s="76">
        <v>2.5</v>
      </c>
      <c r="E37" s="731">
        <v>2.5</v>
      </c>
      <c r="F37" s="732">
        <v>3</v>
      </c>
      <c r="H37" s="733">
        <f>A37*25.4</f>
        <v>19.049999999999997</v>
      </c>
      <c r="I37" s="734">
        <f t="shared" ref="I37:M40" si="4">B37*0.4535924</f>
        <v>1.3607772</v>
      </c>
      <c r="J37" s="734">
        <f t="shared" si="4"/>
        <v>1.1339809999999999</v>
      </c>
      <c r="K37" s="734">
        <f t="shared" si="4"/>
        <v>1.1339809999999999</v>
      </c>
      <c r="L37" s="734">
        <f t="shared" si="4"/>
        <v>1.1339809999999999</v>
      </c>
      <c r="M37" s="734">
        <f t="shared" si="4"/>
        <v>1.3607772</v>
      </c>
    </row>
    <row r="38" spans="1:13" x14ac:dyDescent="0.2">
      <c r="A38" s="735">
        <v>1</v>
      </c>
      <c r="B38" s="730">
        <v>4</v>
      </c>
      <c r="C38" s="731">
        <v>3</v>
      </c>
      <c r="D38" s="76">
        <v>3</v>
      </c>
      <c r="E38" s="731">
        <v>3</v>
      </c>
      <c r="F38" s="732">
        <v>4</v>
      </c>
      <c r="H38" s="733">
        <f>A38*25.4</f>
        <v>25.4</v>
      </c>
      <c r="I38" s="734">
        <f t="shared" si="4"/>
        <v>1.8143696</v>
      </c>
      <c r="J38" s="734">
        <f t="shared" si="4"/>
        <v>1.3607772</v>
      </c>
      <c r="K38" s="734">
        <f t="shared" si="4"/>
        <v>1.3607772</v>
      </c>
      <c r="L38" s="734">
        <f t="shared" si="4"/>
        <v>1.3607772</v>
      </c>
      <c r="M38" s="734">
        <f t="shared" si="4"/>
        <v>1.8143696</v>
      </c>
    </row>
    <row r="39" spans="1:13" x14ac:dyDescent="0.2">
      <c r="A39" s="736">
        <v>1.25</v>
      </c>
      <c r="B39" s="730">
        <v>5</v>
      </c>
      <c r="C39" s="731">
        <v>4.5</v>
      </c>
      <c r="D39" s="76">
        <v>4.5</v>
      </c>
      <c r="E39" s="731">
        <v>4.5</v>
      </c>
      <c r="F39" s="732">
        <v>6</v>
      </c>
      <c r="H39" s="733">
        <f>A39*25.4</f>
        <v>31.75</v>
      </c>
      <c r="I39" s="734">
        <f t="shared" si="4"/>
        <v>2.2679619999999998</v>
      </c>
      <c r="J39" s="734">
        <f t="shared" si="4"/>
        <v>2.0411657999999999</v>
      </c>
      <c r="K39" s="734">
        <f t="shared" si="4"/>
        <v>2.0411657999999999</v>
      </c>
      <c r="L39" s="734">
        <f t="shared" si="4"/>
        <v>2.0411657999999999</v>
      </c>
      <c r="M39" s="734">
        <f t="shared" si="4"/>
        <v>2.7215544</v>
      </c>
    </row>
    <row r="40" spans="1:13" ht="13.5" thickBot="1" x14ac:dyDescent="0.25">
      <c r="A40" s="737">
        <v>1.5</v>
      </c>
      <c r="B40" s="738">
        <v>7</v>
      </c>
      <c r="C40" s="739">
        <v>6.5</v>
      </c>
      <c r="D40" s="740">
        <v>6.5</v>
      </c>
      <c r="E40" s="739">
        <v>6.5</v>
      </c>
      <c r="F40" s="741">
        <v>7</v>
      </c>
      <c r="H40" s="742">
        <f>A40*25.4</f>
        <v>38.099999999999994</v>
      </c>
      <c r="I40" s="734">
        <f t="shared" si="4"/>
        <v>3.1751468000000003</v>
      </c>
      <c r="J40" s="734">
        <f t="shared" si="4"/>
        <v>2.9483505999999999</v>
      </c>
      <c r="K40" s="734">
        <f t="shared" si="4"/>
        <v>2.9483505999999999</v>
      </c>
      <c r="L40" s="734">
        <f t="shared" si="4"/>
        <v>2.9483505999999999</v>
      </c>
      <c r="M40" s="734">
        <f t="shared" si="4"/>
        <v>3.1751468000000003</v>
      </c>
    </row>
    <row r="41" spans="1:13" ht="13.5" thickTop="1" x14ac:dyDescent="0.2">
      <c r="A41" s="743">
        <v>2</v>
      </c>
      <c r="B41" s="723">
        <v>8</v>
      </c>
      <c r="C41" s="724">
        <v>7</v>
      </c>
      <c r="D41" s="725">
        <v>7</v>
      </c>
      <c r="E41" s="724">
        <v>7</v>
      </c>
      <c r="F41" s="726">
        <v>8</v>
      </c>
      <c r="H41" s="727">
        <f>A42*25.4</f>
        <v>63.5</v>
      </c>
      <c r="I41" s="728">
        <f>B41*0.4535924</f>
        <v>3.6287392000000001</v>
      </c>
      <c r="J41" s="728">
        <f>C41*0.4535924</f>
        <v>3.1751468000000003</v>
      </c>
      <c r="K41" s="728">
        <f>D41*0.4535924</f>
        <v>3.1751468000000003</v>
      </c>
      <c r="L41" s="728">
        <f>E41*0.4535924</f>
        <v>3.1751468000000003</v>
      </c>
      <c r="M41" s="728">
        <f>F41*0.4535924</f>
        <v>3.6287392000000001</v>
      </c>
    </row>
    <row r="42" spans="1:13" x14ac:dyDescent="0.2">
      <c r="A42" s="736">
        <v>2.5</v>
      </c>
      <c r="B42" s="730">
        <v>12</v>
      </c>
      <c r="C42" s="731">
        <v>10</v>
      </c>
      <c r="D42" s="76">
        <v>10</v>
      </c>
      <c r="E42" s="731">
        <v>10</v>
      </c>
      <c r="F42" s="732">
        <v>12</v>
      </c>
      <c r="H42" s="733">
        <f>A42*25.4</f>
        <v>63.5</v>
      </c>
      <c r="I42" s="734">
        <f t="shared" ref="I42:M45" si="5">B42*0.4535924</f>
        <v>5.4431088000000001</v>
      </c>
      <c r="J42" s="734">
        <f t="shared" si="5"/>
        <v>4.5359239999999996</v>
      </c>
      <c r="K42" s="734">
        <f t="shared" si="5"/>
        <v>4.5359239999999996</v>
      </c>
      <c r="L42" s="734">
        <f t="shared" si="5"/>
        <v>4.5359239999999996</v>
      </c>
      <c r="M42" s="734">
        <f t="shared" si="5"/>
        <v>5.4431088000000001</v>
      </c>
    </row>
    <row r="43" spans="1:13" x14ac:dyDescent="0.2">
      <c r="A43" s="735">
        <v>3</v>
      </c>
      <c r="B43" s="730">
        <v>18</v>
      </c>
      <c r="C43" s="731">
        <v>13</v>
      </c>
      <c r="D43" s="76">
        <v>14</v>
      </c>
      <c r="E43" s="731">
        <v>14.5</v>
      </c>
      <c r="F43" s="732">
        <v>16</v>
      </c>
      <c r="H43" s="733">
        <f>A43*25.4</f>
        <v>76.199999999999989</v>
      </c>
      <c r="I43" s="734">
        <f t="shared" si="5"/>
        <v>8.1646631999999997</v>
      </c>
      <c r="J43" s="734">
        <f t="shared" si="5"/>
        <v>5.8967011999999999</v>
      </c>
      <c r="K43" s="734">
        <f t="shared" si="5"/>
        <v>6.3502936000000005</v>
      </c>
      <c r="L43" s="734">
        <f t="shared" si="5"/>
        <v>6.5770898000000004</v>
      </c>
      <c r="M43" s="734">
        <f t="shared" si="5"/>
        <v>7.2574784000000001</v>
      </c>
    </row>
    <row r="44" spans="1:13" x14ac:dyDescent="0.2">
      <c r="A44" s="736">
        <v>3.5</v>
      </c>
      <c r="B44" s="730">
        <v>20</v>
      </c>
      <c r="C44" s="731">
        <v>16</v>
      </c>
      <c r="D44" s="76">
        <v>16</v>
      </c>
      <c r="E44" s="731">
        <v>16</v>
      </c>
      <c r="F44" s="732">
        <v>21</v>
      </c>
      <c r="H44" s="733">
        <f>A44*25.4</f>
        <v>88.899999999999991</v>
      </c>
      <c r="I44" s="734">
        <f t="shared" si="5"/>
        <v>9.0718479999999992</v>
      </c>
      <c r="J44" s="734">
        <f t="shared" si="5"/>
        <v>7.2574784000000001</v>
      </c>
      <c r="K44" s="734">
        <f t="shared" si="5"/>
        <v>7.2574784000000001</v>
      </c>
      <c r="L44" s="734">
        <f t="shared" si="5"/>
        <v>7.2574784000000001</v>
      </c>
      <c r="M44" s="734">
        <f t="shared" si="5"/>
        <v>9.5254404000000008</v>
      </c>
    </row>
    <row r="45" spans="1:13" ht="13.5" thickBot="1" x14ac:dyDescent="0.25">
      <c r="A45" s="744">
        <v>4</v>
      </c>
      <c r="B45" s="738">
        <v>26.5</v>
      </c>
      <c r="C45" s="739">
        <v>23.5</v>
      </c>
      <c r="D45" s="740">
        <v>24</v>
      </c>
      <c r="E45" s="739">
        <v>24</v>
      </c>
      <c r="F45" s="741">
        <v>28</v>
      </c>
      <c r="H45" s="742">
        <f>A45*25.4</f>
        <v>101.6</v>
      </c>
      <c r="I45" s="734">
        <f t="shared" si="5"/>
        <v>12.020198600000001</v>
      </c>
      <c r="J45" s="734">
        <f t="shared" si="5"/>
        <v>10.659421399999999</v>
      </c>
      <c r="K45" s="734">
        <f t="shared" si="5"/>
        <v>10.8862176</v>
      </c>
      <c r="L45" s="734">
        <f t="shared" si="5"/>
        <v>10.8862176</v>
      </c>
      <c r="M45" s="734">
        <f t="shared" si="5"/>
        <v>12.700587200000001</v>
      </c>
    </row>
    <row r="46" spans="1:13" ht="13.5" thickTop="1" x14ac:dyDescent="0.2">
      <c r="A46" s="743">
        <v>5</v>
      </c>
      <c r="B46" s="723">
        <v>36</v>
      </c>
      <c r="C46" s="724">
        <v>29</v>
      </c>
      <c r="D46" s="725">
        <v>31</v>
      </c>
      <c r="E46" s="724">
        <v>26</v>
      </c>
      <c r="F46" s="726">
        <v>37</v>
      </c>
      <c r="H46" s="727">
        <f>A47*25.4</f>
        <v>152.39999999999998</v>
      </c>
      <c r="I46" s="728">
        <f>B46*0.4535924</f>
        <v>16.329326399999999</v>
      </c>
      <c r="J46" s="728">
        <f>C46*0.4535924</f>
        <v>13.154179600000001</v>
      </c>
      <c r="K46" s="728">
        <f>D46*0.4535924</f>
        <v>14.0613644</v>
      </c>
      <c r="L46" s="728">
        <f>E46*0.4535924</f>
        <v>11.7934024</v>
      </c>
      <c r="M46" s="728">
        <f>F46*0.4535924</f>
        <v>16.782918800000001</v>
      </c>
    </row>
    <row r="47" spans="1:13" x14ac:dyDescent="0.2">
      <c r="A47" s="735">
        <v>6</v>
      </c>
      <c r="B47" s="730">
        <v>45</v>
      </c>
      <c r="C47" s="731">
        <v>36</v>
      </c>
      <c r="D47" s="76">
        <v>36</v>
      </c>
      <c r="E47" s="731">
        <v>38</v>
      </c>
      <c r="F47" s="732">
        <v>48</v>
      </c>
      <c r="H47" s="733">
        <f>A47*25.4</f>
        <v>152.39999999999998</v>
      </c>
      <c r="I47" s="734">
        <f t="shared" ref="I47:M50" si="6">B47*0.4535924</f>
        <v>20.411657999999999</v>
      </c>
      <c r="J47" s="734">
        <f t="shared" si="6"/>
        <v>16.329326399999999</v>
      </c>
      <c r="K47" s="734">
        <f t="shared" si="6"/>
        <v>16.329326399999999</v>
      </c>
      <c r="L47" s="734">
        <f t="shared" si="6"/>
        <v>17.236511199999999</v>
      </c>
      <c r="M47" s="734">
        <f t="shared" si="6"/>
        <v>21.7724352</v>
      </c>
    </row>
    <row r="48" spans="1:13" x14ac:dyDescent="0.2">
      <c r="A48" s="735">
        <v>8</v>
      </c>
      <c r="B48" s="730">
        <v>69</v>
      </c>
      <c r="C48" s="731">
        <v>56</v>
      </c>
      <c r="D48" s="76">
        <v>56</v>
      </c>
      <c r="E48" s="731">
        <v>55</v>
      </c>
      <c r="F48" s="732">
        <v>79</v>
      </c>
      <c r="H48" s="733">
        <f>A48*25.4</f>
        <v>203.2</v>
      </c>
      <c r="I48" s="734">
        <f t="shared" si="6"/>
        <v>31.297875600000001</v>
      </c>
      <c r="J48" s="734">
        <f t="shared" si="6"/>
        <v>25.401174400000002</v>
      </c>
      <c r="K48" s="734">
        <f t="shared" si="6"/>
        <v>25.401174400000002</v>
      </c>
      <c r="L48" s="734">
        <f t="shared" si="6"/>
        <v>24.947582000000001</v>
      </c>
      <c r="M48" s="734">
        <f t="shared" si="6"/>
        <v>35.833799599999999</v>
      </c>
    </row>
    <row r="49" spans="1:13" x14ac:dyDescent="0.2">
      <c r="A49" s="735">
        <v>10</v>
      </c>
      <c r="B49" s="730">
        <v>100</v>
      </c>
      <c r="C49" s="731">
        <v>77</v>
      </c>
      <c r="D49" s="76">
        <v>80</v>
      </c>
      <c r="E49" s="731">
        <v>88</v>
      </c>
      <c r="F49" s="732">
        <v>122</v>
      </c>
      <c r="H49" s="733">
        <f>A49*25.4</f>
        <v>254</v>
      </c>
      <c r="I49" s="734">
        <f t="shared" si="6"/>
        <v>45.35924</v>
      </c>
      <c r="J49" s="734">
        <f t="shared" si="6"/>
        <v>34.926614800000003</v>
      </c>
      <c r="K49" s="734">
        <f t="shared" si="6"/>
        <v>36.287391999999997</v>
      </c>
      <c r="L49" s="734">
        <f t="shared" si="6"/>
        <v>39.916131200000002</v>
      </c>
      <c r="M49" s="734">
        <f t="shared" si="6"/>
        <v>55.338272799999999</v>
      </c>
    </row>
    <row r="50" spans="1:13" ht="13.5" thickBot="1" x14ac:dyDescent="0.25">
      <c r="A50" s="744">
        <v>12</v>
      </c>
      <c r="B50" s="738">
        <v>142</v>
      </c>
      <c r="C50" s="739">
        <v>113</v>
      </c>
      <c r="D50" s="740">
        <v>110</v>
      </c>
      <c r="E50" s="739">
        <v>139</v>
      </c>
      <c r="F50" s="741">
        <v>183</v>
      </c>
      <c r="H50" s="742">
        <f>A50*25.4</f>
        <v>304.79999999999995</v>
      </c>
      <c r="I50" s="734">
        <f t="shared" si="6"/>
        <v>64.410120800000001</v>
      </c>
      <c r="J50" s="734">
        <f t="shared" si="6"/>
        <v>51.255941200000002</v>
      </c>
      <c r="K50" s="734">
        <f t="shared" si="6"/>
        <v>49.895164000000001</v>
      </c>
      <c r="L50" s="734">
        <f t="shared" si="6"/>
        <v>63.0493436</v>
      </c>
      <c r="M50" s="734">
        <f t="shared" si="6"/>
        <v>83.007409199999998</v>
      </c>
    </row>
    <row r="51" spans="1:13" ht="13.5" thickTop="1" x14ac:dyDescent="0.2">
      <c r="A51" s="743">
        <v>14</v>
      </c>
      <c r="B51" s="723">
        <v>206</v>
      </c>
      <c r="C51" s="724">
        <v>159</v>
      </c>
      <c r="D51" s="725">
        <v>164</v>
      </c>
      <c r="E51" s="724">
        <v>184</v>
      </c>
      <c r="F51" s="726">
        <v>241</v>
      </c>
      <c r="H51" s="727">
        <f>A52*25.4</f>
        <v>406.4</v>
      </c>
      <c r="I51" s="728">
        <f>B51*0.4535924</f>
        <v>93.440034400000002</v>
      </c>
      <c r="J51" s="728">
        <f>C51*0.4535924</f>
        <v>72.121191600000003</v>
      </c>
      <c r="K51" s="728">
        <f>D51*0.4535924</f>
        <v>74.3891536</v>
      </c>
      <c r="L51" s="728">
        <f>E51*0.4535924</f>
        <v>83.461001600000003</v>
      </c>
      <c r="M51" s="728">
        <f>F51*0.4535924</f>
        <v>109.3157684</v>
      </c>
    </row>
    <row r="52" spans="1:13" x14ac:dyDescent="0.2">
      <c r="A52" s="735">
        <v>16</v>
      </c>
      <c r="B52" s="730">
        <v>249</v>
      </c>
      <c r="C52" s="731">
        <v>210</v>
      </c>
      <c r="D52" s="76">
        <v>220</v>
      </c>
      <c r="E52" s="731">
        <v>234</v>
      </c>
      <c r="F52" s="732">
        <v>315</v>
      </c>
      <c r="H52" s="733">
        <f>A52*25.4</f>
        <v>406.4</v>
      </c>
      <c r="I52" s="734">
        <f t="shared" ref="I52:M55" si="7">B52*0.4535924</f>
        <v>112.94450760000001</v>
      </c>
      <c r="J52" s="734">
        <f t="shared" si="7"/>
        <v>95.254404000000008</v>
      </c>
      <c r="K52" s="734">
        <f t="shared" si="7"/>
        <v>99.790328000000002</v>
      </c>
      <c r="L52" s="734">
        <f t="shared" si="7"/>
        <v>106.1406216</v>
      </c>
      <c r="M52" s="734">
        <f t="shared" si="7"/>
        <v>142.881606</v>
      </c>
    </row>
    <row r="53" spans="1:13" x14ac:dyDescent="0.2">
      <c r="A53" s="735">
        <v>18</v>
      </c>
      <c r="B53" s="730">
        <v>306</v>
      </c>
      <c r="C53" s="731">
        <v>253</v>
      </c>
      <c r="D53" s="76">
        <v>280</v>
      </c>
      <c r="E53" s="731">
        <v>305</v>
      </c>
      <c r="F53" s="732">
        <v>414</v>
      </c>
      <c r="H53" s="733">
        <f>A53*25.4</f>
        <v>457.2</v>
      </c>
      <c r="I53" s="734">
        <f t="shared" si="7"/>
        <v>138.7992744</v>
      </c>
      <c r="J53" s="734">
        <f t="shared" si="7"/>
        <v>114.7588772</v>
      </c>
      <c r="K53" s="734">
        <f t="shared" si="7"/>
        <v>127.005872</v>
      </c>
      <c r="L53" s="734">
        <f t="shared" si="7"/>
        <v>138.34568200000001</v>
      </c>
      <c r="M53" s="734">
        <f t="shared" si="7"/>
        <v>187.78725360000001</v>
      </c>
    </row>
    <row r="54" spans="1:13" x14ac:dyDescent="0.2">
      <c r="A54" s="735">
        <v>20</v>
      </c>
      <c r="B54" s="730">
        <v>369</v>
      </c>
      <c r="C54" s="731">
        <v>307</v>
      </c>
      <c r="D54" s="76">
        <v>325</v>
      </c>
      <c r="E54" s="731">
        <v>375</v>
      </c>
      <c r="F54" s="732">
        <v>515</v>
      </c>
      <c r="H54" s="733">
        <f>A54*25.4</f>
        <v>508</v>
      </c>
      <c r="I54" s="734">
        <f t="shared" si="7"/>
        <v>167.3755956</v>
      </c>
      <c r="J54" s="734">
        <f t="shared" si="7"/>
        <v>139.25286679999999</v>
      </c>
      <c r="K54" s="734">
        <f t="shared" si="7"/>
        <v>147.41753</v>
      </c>
      <c r="L54" s="734">
        <f t="shared" si="7"/>
        <v>170.09715</v>
      </c>
      <c r="M54" s="734">
        <f t="shared" si="7"/>
        <v>233.600086</v>
      </c>
    </row>
    <row r="55" spans="1:13" ht="13.5" thickBot="1" x14ac:dyDescent="0.25">
      <c r="A55" s="744">
        <v>24</v>
      </c>
      <c r="B55" s="738">
        <v>519</v>
      </c>
      <c r="C55" s="739">
        <v>490</v>
      </c>
      <c r="D55" s="740">
        <v>490</v>
      </c>
      <c r="E55" s="739">
        <v>530</v>
      </c>
      <c r="F55" s="741">
        <v>800</v>
      </c>
      <c r="H55" s="742">
        <f>A55*25.4</f>
        <v>609.59999999999991</v>
      </c>
      <c r="I55" s="745">
        <f t="shared" si="7"/>
        <v>235.4144556</v>
      </c>
      <c r="J55" s="745">
        <f t="shared" si="7"/>
        <v>222.260276</v>
      </c>
      <c r="K55" s="745">
        <f t="shared" si="7"/>
        <v>222.260276</v>
      </c>
      <c r="L55" s="745">
        <f t="shared" si="7"/>
        <v>240.40397200000001</v>
      </c>
      <c r="M55" s="745">
        <f t="shared" si="7"/>
        <v>362.87392</v>
      </c>
    </row>
    <row r="56" spans="1:13" ht="13.5" thickTop="1" x14ac:dyDescent="0.2"/>
    <row r="57" spans="1:13" ht="20.25" x14ac:dyDescent="0.3">
      <c r="D57" s="719"/>
      <c r="E57" s="720" t="s">
        <v>1909</v>
      </c>
    </row>
    <row r="58" spans="1:13" ht="16.5" thickBot="1" x14ac:dyDescent="0.3">
      <c r="C58" s="35" t="s">
        <v>1805</v>
      </c>
      <c r="J58" s="35" t="s">
        <v>1806</v>
      </c>
    </row>
    <row r="59" spans="1:13" ht="13.5" thickTop="1" x14ac:dyDescent="0.2">
      <c r="A59" s="502" t="s">
        <v>1867</v>
      </c>
      <c r="B59" s="721" t="s">
        <v>1910</v>
      </c>
      <c r="C59" s="721" t="s">
        <v>1910</v>
      </c>
      <c r="D59" s="721" t="s">
        <v>1910</v>
      </c>
      <c r="E59" s="721" t="s">
        <v>1910</v>
      </c>
      <c r="F59" s="721" t="s">
        <v>1910</v>
      </c>
      <c r="G59" s="464"/>
      <c r="H59" s="502" t="s">
        <v>1867</v>
      </c>
      <c r="I59" s="721" t="s">
        <v>1910</v>
      </c>
      <c r="J59" s="721" t="s">
        <v>1910</v>
      </c>
      <c r="K59" s="721" t="s">
        <v>1910</v>
      </c>
      <c r="L59" s="721" t="s">
        <v>1910</v>
      </c>
      <c r="M59" s="721" t="s">
        <v>1910</v>
      </c>
    </row>
    <row r="60" spans="1:13" x14ac:dyDescent="0.2">
      <c r="A60" s="510" t="s">
        <v>1556</v>
      </c>
      <c r="B60" s="513" t="s">
        <v>1900</v>
      </c>
      <c r="C60" s="513" t="s">
        <v>1901</v>
      </c>
      <c r="D60" s="513" t="s">
        <v>1902</v>
      </c>
      <c r="E60" s="513" t="s">
        <v>1903</v>
      </c>
      <c r="F60" s="513" t="s">
        <v>1904</v>
      </c>
      <c r="G60" s="464"/>
      <c r="H60" s="510" t="s">
        <v>1556</v>
      </c>
      <c r="I60" s="513" t="s">
        <v>1900</v>
      </c>
      <c r="J60" s="513" t="s">
        <v>1901</v>
      </c>
      <c r="K60" s="513" t="s">
        <v>1902</v>
      </c>
      <c r="L60" s="513" t="s">
        <v>1903</v>
      </c>
      <c r="M60" s="513" t="s">
        <v>1904</v>
      </c>
    </row>
    <row r="61" spans="1:13" x14ac:dyDescent="0.2">
      <c r="A61" s="510" t="s">
        <v>894</v>
      </c>
      <c r="B61" s="513" t="s">
        <v>1905</v>
      </c>
      <c r="C61" s="513" t="s">
        <v>1905</v>
      </c>
      <c r="D61" s="513" t="s">
        <v>1905</v>
      </c>
      <c r="E61" s="513" t="s">
        <v>1905</v>
      </c>
      <c r="F61" s="513" t="s">
        <v>1905</v>
      </c>
      <c r="G61" s="464"/>
      <c r="H61" s="510" t="s">
        <v>894</v>
      </c>
      <c r="I61" s="513" t="s">
        <v>1905</v>
      </c>
      <c r="J61" s="513" t="s">
        <v>1905</v>
      </c>
      <c r="K61" s="513" t="s">
        <v>1905</v>
      </c>
      <c r="L61" s="513" t="s">
        <v>1905</v>
      </c>
      <c r="M61" s="513" t="s">
        <v>1905</v>
      </c>
    </row>
    <row r="62" spans="1:13" ht="13.5" thickBot="1" x14ac:dyDescent="0.25">
      <c r="A62" s="517" t="s">
        <v>1802</v>
      </c>
      <c r="B62" s="718" t="s">
        <v>1906</v>
      </c>
      <c r="C62" s="718" t="s">
        <v>1906</v>
      </c>
      <c r="D62" s="718" t="s">
        <v>1906</v>
      </c>
      <c r="E62" s="718" t="s">
        <v>1906</v>
      </c>
      <c r="F62" s="718" t="s">
        <v>1906</v>
      </c>
      <c r="G62" s="464"/>
      <c r="H62" s="517" t="s">
        <v>1803</v>
      </c>
      <c r="I62" s="517" t="s">
        <v>1840</v>
      </c>
      <c r="J62" s="517" t="s">
        <v>1840</v>
      </c>
      <c r="K62" s="517" t="s">
        <v>1840</v>
      </c>
      <c r="L62" s="517" t="s">
        <v>1840</v>
      </c>
      <c r="M62" s="517" t="s">
        <v>1840</v>
      </c>
    </row>
    <row r="63" spans="1:13" ht="13.5" thickTop="1" x14ac:dyDescent="0.2">
      <c r="A63" s="722">
        <v>0.5</v>
      </c>
      <c r="B63" s="723">
        <v>3</v>
      </c>
      <c r="C63" s="724">
        <v>2</v>
      </c>
      <c r="D63" s="725">
        <v>2</v>
      </c>
      <c r="E63" s="724">
        <v>2</v>
      </c>
      <c r="F63" s="726">
        <v>2</v>
      </c>
      <c r="H63" s="727">
        <f>A63*25.4</f>
        <v>12.7</v>
      </c>
      <c r="I63" s="728">
        <f>B63*0.4535924</f>
        <v>1.3607772</v>
      </c>
      <c r="J63" s="728">
        <f>C63*0.4535924</f>
        <v>0.90718480000000001</v>
      </c>
      <c r="K63" s="728">
        <f>D63*0.4535924</f>
        <v>0.90718480000000001</v>
      </c>
      <c r="L63" s="728">
        <f>E63*0.4535924</f>
        <v>0.90718480000000001</v>
      </c>
      <c r="M63" s="728">
        <f>F63*0.4535924</f>
        <v>0.90718480000000001</v>
      </c>
    </row>
    <row r="64" spans="1:13" x14ac:dyDescent="0.2">
      <c r="A64" s="729">
        <v>0.75</v>
      </c>
      <c r="B64" s="730">
        <v>3.5</v>
      </c>
      <c r="C64" s="731">
        <v>3</v>
      </c>
      <c r="D64" s="76">
        <v>3</v>
      </c>
      <c r="E64" s="731">
        <v>3</v>
      </c>
      <c r="F64" s="732">
        <v>3</v>
      </c>
      <c r="H64" s="733">
        <f>A64*25.4</f>
        <v>19.049999999999997</v>
      </c>
      <c r="I64" s="734">
        <f t="shared" ref="I64:M67" si="8">B64*0.4535924</f>
        <v>1.5875734000000001</v>
      </c>
      <c r="J64" s="734">
        <f t="shared" si="8"/>
        <v>1.3607772</v>
      </c>
      <c r="K64" s="734">
        <f t="shared" si="8"/>
        <v>1.3607772</v>
      </c>
      <c r="L64" s="734">
        <f t="shared" si="8"/>
        <v>1.3607772</v>
      </c>
      <c r="M64" s="734">
        <f t="shared" si="8"/>
        <v>1.3607772</v>
      </c>
    </row>
    <row r="65" spans="1:13" x14ac:dyDescent="0.2">
      <c r="A65" s="735">
        <v>1</v>
      </c>
      <c r="B65" s="730">
        <v>4</v>
      </c>
      <c r="C65" s="731">
        <v>3.5</v>
      </c>
      <c r="D65" s="76">
        <v>3.5</v>
      </c>
      <c r="E65" s="731">
        <v>3.5</v>
      </c>
      <c r="F65" s="732">
        <v>4</v>
      </c>
      <c r="H65" s="733">
        <f>A65*25.4</f>
        <v>25.4</v>
      </c>
      <c r="I65" s="734">
        <f t="shared" si="8"/>
        <v>1.8143696</v>
      </c>
      <c r="J65" s="734">
        <f t="shared" si="8"/>
        <v>1.5875734000000001</v>
      </c>
      <c r="K65" s="734">
        <f t="shared" si="8"/>
        <v>1.5875734000000001</v>
      </c>
      <c r="L65" s="734">
        <f t="shared" si="8"/>
        <v>1.5875734000000001</v>
      </c>
      <c r="M65" s="734">
        <f t="shared" si="8"/>
        <v>1.8143696</v>
      </c>
    </row>
    <row r="66" spans="1:13" x14ac:dyDescent="0.2">
      <c r="A66" s="736">
        <v>1.25</v>
      </c>
      <c r="B66" s="730">
        <v>5.5</v>
      </c>
      <c r="C66" s="731">
        <v>4.5</v>
      </c>
      <c r="D66" s="76">
        <v>4.5</v>
      </c>
      <c r="E66" s="731">
        <v>4.5</v>
      </c>
      <c r="F66" s="732">
        <v>6</v>
      </c>
      <c r="H66" s="733">
        <f>A66*25.4</f>
        <v>31.75</v>
      </c>
      <c r="I66" s="734">
        <f t="shared" si="8"/>
        <v>2.4947582000000001</v>
      </c>
      <c r="J66" s="734">
        <f t="shared" si="8"/>
        <v>2.0411657999999999</v>
      </c>
      <c r="K66" s="734">
        <f t="shared" si="8"/>
        <v>2.0411657999999999</v>
      </c>
      <c r="L66" s="734">
        <f t="shared" si="8"/>
        <v>2.0411657999999999</v>
      </c>
      <c r="M66" s="734">
        <f t="shared" si="8"/>
        <v>2.7215544</v>
      </c>
    </row>
    <row r="67" spans="1:13" ht="13.5" thickBot="1" x14ac:dyDescent="0.25">
      <c r="A67" s="737">
        <v>1.5</v>
      </c>
      <c r="B67" s="738">
        <v>8</v>
      </c>
      <c r="C67" s="739">
        <v>6.5</v>
      </c>
      <c r="D67" s="740">
        <v>6.5</v>
      </c>
      <c r="E67" s="739">
        <v>6.5</v>
      </c>
      <c r="F67" s="741">
        <v>8</v>
      </c>
      <c r="H67" s="742">
        <f>A67*25.4</f>
        <v>38.099999999999994</v>
      </c>
      <c r="I67" s="734">
        <f t="shared" si="8"/>
        <v>3.6287392000000001</v>
      </c>
      <c r="J67" s="734">
        <f t="shared" si="8"/>
        <v>2.9483505999999999</v>
      </c>
      <c r="K67" s="734">
        <f t="shared" si="8"/>
        <v>2.9483505999999999</v>
      </c>
      <c r="L67" s="734">
        <f t="shared" si="8"/>
        <v>2.9483505999999999</v>
      </c>
      <c r="M67" s="734">
        <f t="shared" si="8"/>
        <v>3.6287392000000001</v>
      </c>
    </row>
    <row r="68" spans="1:13" ht="13.5" thickTop="1" x14ac:dyDescent="0.2">
      <c r="A68" s="743">
        <v>2</v>
      </c>
      <c r="B68" s="723">
        <v>10</v>
      </c>
      <c r="C68" s="724">
        <v>8</v>
      </c>
      <c r="D68" s="725">
        <v>8</v>
      </c>
      <c r="E68" s="724">
        <v>8</v>
      </c>
      <c r="F68" s="726">
        <v>10</v>
      </c>
      <c r="H68" s="727">
        <f>A69*25.4</f>
        <v>63.5</v>
      </c>
      <c r="I68" s="728">
        <f>B68*0.4535924</f>
        <v>4.5359239999999996</v>
      </c>
      <c r="J68" s="728">
        <f>C68*0.4535924</f>
        <v>3.6287392000000001</v>
      </c>
      <c r="K68" s="728">
        <f>D68*0.4535924</f>
        <v>3.6287392000000001</v>
      </c>
      <c r="L68" s="728">
        <f>E68*0.4535924</f>
        <v>3.6287392000000001</v>
      </c>
      <c r="M68" s="728">
        <f>F68*0.4535924</f>
        <v>4.5359239999999996</v>
      </c>
    </row>
    <row r="69" spans="1:13" x14ac:dyDescent="0.2">
      <c r="A69" s="736">
        <v>2.5</v>
      </c>
      <c r="B69" s="730">
        <v>14</v>
      </c>
      <c r="C69" s="731">
        <v>12</v>
      </c>
      <c r="D69" s="76">
        <v>12</v>
      </c>
      <c r="E69" s="731">
        <v>11</v>
      </c>
      <c r="F69" s="732">
        <v>15</v>
      </c>
      <c r="H69" s="733">
        <f>A69*25.4</f>
        <v>63.5</v>
      </c>
      <c r="I69" s="734">
        <f t="shared" ref="I69:M72" si="9">B69*0.4535924</f>
        <v>6.3502936000000005</v>
      </c>
      <c r="J69" s="734">
        <f t="shared" si="9"/>
        <v>5.4431088000000001</v>
      </c>
      <c r="K69" s="734">
        <f t="shared" si="9"/>
        <v>5.4431088000000001</v>
      </c>
      <c r="L69" s="734">
        <f t="shared" si="9"/>
        <v>4.9895164000000003</v>
      </c>
      <c r="M69" s="734">
        <f t="shared" si="9"/>
        <v>6.8038860000000003</v>
      </c>
    </row>
    <row r="70" spans="1:13" x14ac:dyDescent="0.2">
      <c r="A70" s="735">
        <v>3</v>
      </c>
      <c r="B70" s="730">
        <v>18</v>
      </c>
      <c r="C70" s="731">
        <v>15</v>
      </c>
      <c r="D70" s="76">
        <v>15</v>
      </c>
      <c r="E70" s="731">
        <v>14</v>
      </c>
      <c r="F70" s="732">
        <v>20</v>
      </c>
      <c r="H70" s="733">
        <f>A70*25.4</f>
        <v>76.199999999999989</v>
      </c>
      <c r="I70" s="734">
        <f t="shared" si="9"/>
        <v>8.1646631999999997</v>
      </c>
      <c r="J70" s="734">
        <f t="shared" si="9"/>
        <v>6.8038860000000003</v>
      </c>
      <c r="K70" s="734">
        <f t="shared" si="9"/>
        <v>6.8038860000000003</v>
      </c>
      <c r="L70" s="734">
        <f t="shared" si="9"/>
        <v>6.3502936000000005</v>
      </c>
      <c r="M70" s="734">
        <f t="shared" si="9"/>
        <v>9.0718479999999992</v>
      </c>
    </row>
    <row r="71" spans="1:13" x14ac:dyDescent="0.2">
      <c r="A71" s="736">
        <v>3.5</v>
      </c>
      <c r="B71" s="730">
        <v>26</v>
      </c>
      <c r="C71" s="731">
        <v>21</v>
      </c>
      <c r="D71" s="76">
        <v>21</v>
      </c>
      <c r="E71" s="731">
        <v>20</v>
      </c>
      <c r="F71" s="732">
        <v>29</v>
      </c>
      <c r="H71" s="733">
        <f>A71*25.4</f>
        <v>88.899999999999991</v>
      </c>
      <c r="I71" s="734">
        <f t="shared" si="9"/>
        <v>11.7934024</v>
      </c>
      <c r="J71" s="734">
        <f t="shared" si="9"/>
        <v>9.5254404000000008</v>
      </c>
      <c r="K71" s="734">
        <f t="shared" si="9"/>
        <v>9.5254404000000008</v>
      </c>
      <c r="L71" s="734">
        <f t="shared" si="9"/>
        <v>9.0718479999999992</v>
      </c>
      <c r="M71" s="734">
        <f t="shared" si="9"/>
        <v>13.154179600000001</v>
      </c>
    </row>
    <row r="72" spans="1:13" ht="13.5" thickBot="1" x14ac:dyDescent="0.25">
      <c r="A72" s="744">
        <v>4</v>
      </c>
      <c r="B72" s="738">
        <v>30</v>
      </c>
      <c r="C72" s="739">
        <v>24</v>
      </c>
      <c r="D72" s="740">
        <v>24</v>
      </c>
      <c r="E72" s="739">
        <v>22</v>
      </c>
      <c r="F72" s="741">
        <v>33</v>
      </c>
      <c r="H72" s="742">
        <f>A72*25.4</f>
        <v>101.6</v>
      </c>
      <c r="I72" s="734">
        <f t="shared" si="9"/>
        <v>13.607772000000001</v>
      </c>
      <c r="J72" s="734">
        <f t="shared" si="9"/>
        <v>10.8862176</v>
      </c>
      <c r="K72" s="734">
        <f t="shared" si="9"/>
        <v>10.8862176</v>
      </c>
      <c r="L72" s="734">
        <f t="shared" si="9"/>
        <v>9.9790328000000006</v>
      </c>
      <c r="M72" s="734">
        <f t="shared" si="9"/>
        <v>14.9685492</v>
      </c>
    </row>
    <row r="73" spans="1:13" ht="13.5" thickTop="1" x14ac:dyDescent="0.2">
      <c r="A73" s="743">
        <v>5</v>
      </c>
      <c r="B73" s="723">
        <v>39</v>
      </c>
      <c r="C73" s="724">
        <v>31</v>
      </c>
      <c r="D73" s="725">
        <v>31</v>
      </c>
      <c r="E73" s="724">
        <v>29</v>
      </c>
      <c r="F73" s="726">
        <v>44</v>
      </c>
      <c r="H73" s="727">
        <f>A74*25.4</f>
        <v>152.39999999999998</v>
      </c>
      <c r="I73" s="728">
        <f>B73*0.4535924</f>
        <v>17.6901036</v>
      </c>
      <c r="J73" s="728">
        <f>C73*0.4535924</f>
        <v>14.0613644</v>
      </c>
      <c r="K73" s="728">
        <f>D73*0.4535924</f>
        <v>14.0613644</v>
      </c>
      <c r="L73" s="728">
        <f>E73*0.4535924</f>
        <v>13.154179600000001</v>
      </c>
      <c r="M73" s="728">
        <f>F73*0.4535924</f>
        <v>19.958065600000001</v>
      </c>
    </row>
    <row r="74" spans="1:13" x14ac:dyDescent="0.2">
      <c r="A74" s="735">
        <v>6</v>
      </c>
      <c r="B74" s="730">
        <v>49</v>
      </c>
      <c r="C74" s="731">
        <v>39</v>
      </c>
      <c r="D74" s="76">
        <v>39</v>
      </c>
      <c r="E74" s="731">
        <v>37</v>
      </c>
      <c r="F74" s="732">
        <v>61</v>
      </c>
      <c r="H74" s="733">
        <f>A74*25.4</f>
        <v>152.39999999999998</v>
      </c>
      <c r="I74" s="734">
        <f t="shared" ref="I74:M77" si="10">B74*0.4535924</f>
        <v>22.226027600000002</v>
      </c>
      <c r="J74" s="734">
        <f t="shared" si="10"/>
        <v>17.6901036</v>
      </c>
      <c r="K74" s="734">
        <f t="shared" si="10"/>
        <v>17.6901036</v>
      </c>
      <c r="L74" s="734">
        <f t="shared" si="10"/>
        <v>16.782918800000001</v>
      </c>
      <c r="M74" s="734">
        <f t="shared" si="10"/>
        <v>27.669136399999999</v>
      </c>
    </row>
    <row r="75" spans="1:13" x14ac:dyDescent="0.2">
      <c r="A75" s="735">
        <v>8</v>
      </c>
      <c r="B75" s="730">
        <v>78</v>
      </c>
      <c r="C75" s="731">
        <v>63</v>
      </c>
      <c r="D75" s="76">
        <v>63</v>
      </c>
      <c r="E75" s="731">
        <v>59</v>
      </c>
      <c r="F75" s="732">
        <v>100</v>
      </c>
      <c r="H75" s="733">
        <f>A75*25.4</f>
        <v>203.2</v>
      </c>
      <c r="I75" s="734">
        <f t="shared" si="10"/>
        <v>35.380207200000001</v>
      </c>
      <c r="J75" s="734">
        <f t="shared" si="10"/>
        <v>28.576321199999999</v>
      </c>
      <c r="K75" s="734">
        <f t="shared" si="10"/>
        <v>28.576321199999999</v>
      </c>
      <c r="L75" s="734">
        <f t="shared" si="10"/>
        <v>26.7619516</v>
      </c>
      <c r="M75" s="734">
        <f t="shared" si="10"/>
        <v>45.35924</v>
      </c>
    </row>
    <row r="76" spans="1:13" x14ac:dyDescent="0.2">
      <c r="A76" s="735">
        <v>10</v>
      </c>
      <c r="B76" s="730">
        <v>110</v>
      </c>
      <c r="C76" s="731">
        <v>91</v>
      </c>
      <c r="D76" s="76">
        <v>91</v>
      </c>
      <c r="E76" s="731">
        <v>95</v>
      </c>
      <c r="F76" s="732">
        <v>155</v>
      </c>
      <c r="H76" s="733">
        <f>A76*25.4</f>
        <v>254</v>
      </c>
      <c r="I76" s="734">
        <f t="shared" si="10"/>
        <v>49.895164000000001</v>
      </c>
      <c r="J76" s="734">
        <f t="shared" si="10"/>
        <v>41.276908400000003</v>
      </c>
      <c r="K76" s="734">
        <f t="shared" si="10"/>
        <v>41.276908400000003</v>
      </c>
      <c r="L76" s="734">
        <f t="shared" si="10"/>
        <v>43.091278000000003</v>
      </c>
      <c r="M76" s="734">
        <f t="shared" si="10"/>
        <v>70.306821999999997</v>
      </c>
    </row>
    <row r="77" spans="1:13" ht="13.5" thickBot="1" x14ac:dyDescent="0.25">
      <c r="A77" s="744">
        <v>12</v>
      </c>
      <c r="B77" s="738">
        <v>160</v>
      </c>
      <c r="C77" s="739">
        <v>129</v>
      </c>
      <c r="D77" s="740">
        <v>129</v>
      </c>
      <c r="E77" s="739">
        <v>152</v>
      </c>
      <c r="F77" s="741">
        <v>226</v>
      </c>
      <c r="H77" s="742">
        <f>A77*25.4</f>
        <v>304.79999999999995</v>
      </c>
      <c r="I77" s="734">
        <f t="shared" si="10"/>
        <v>72.574783999999994</v>
      </c>
      <c r="J77" s="734">
        <f t="shared" si="10"/>
        <v>58.513419599999999</v>
      </c>
      <c r="K77" s="734">
        <f t="shared" si="10"/>
        <v>58.513419599999999</v>
      </c>
      <c r="L77" s="734">
        <f t="shared" si="10"/>
        <v>68.946044799999996</v>
      </c>
      <c r="M77" s="734">
        <f t="shared" si="10"/>
        <v>102.5118824</v>
      </c>
    </row>
    <row r="78" spans="1:13" ht="13.5" thickTop="1" x14ac:dyDescent="0.2">
      <c r="A78" s="743">
        <v>14</v>
      </c>
      <c r="B78" s="723">
        <v>233</v>
      </c>
      <c r="C78" s="724">
        <v>191</v>
      </c>
      <c r="D78" s="725">
        <v>191</v>
      </c>
      <c r="E78" s="724">
        <v>210</v>
      </c>
      <c r="F78" s="726">
        <v>310</v>
      </c>
      <c r="H78" s="727">
        <f>A79*25.4</f>
        <v>406.4</v>
      </c>
      <c r="I78" s="728">
        <f>B78*0.4535924</f>
        <v>105.6870292</v>
      </c>
      <c r="J78" s="728">
        <f>C78*0.4535924</f>
        <v>86.636148399999996</v>
      </c>
      <c r="K78" s="728">
        <f>D78*0.4535924</f>
        <v>86.636148399999996</v>
      </c>
      <c r="L78" s="728">
        <f>E78*0.4535924</f>
        <v>95.254404000000008</v>
      </c>
      <c r="M78" s="728">
        <f>F78*0.4535924</f>
        <v>140.61364399999999</v>
      </c>
    </row>
    <row r="79" spans="1:13" x14ac:dyDescent="0.2">
      <c r="A79" s="735">
        <v>16</v>
      </c>
      <c r="B79" s="730">
        <v>294</v>
      </c>
      <c r="C79" s="731">
        <v>253</v>
      </c>
      <c r="D79" s="76">
        <v>253</v>
      </c>
      <c r="E79" s="731">
        <v>280</v>
      </c>
      <c r="F79" s="732">
        <v>398</v>
      </c>
      <c r="H79" s="733">
        <f>A79*25.4</f>
        <v>406.4</v>
      </c>
      <c r="I79" s="734">
        <f t="shared" ref="I79:M82" si="11">B79*0.4535924</f>
        <v>133.3561656</v>
      </c>
      <c r="J79" s="734">
        <f t="shared" si="11"/>
        <v>114.7588772</v>
      </c>
      <c r="K79" s="734">
        <f t="shared" si="11"/>
        <v>114.7588772</v>
      </c>
      <c r="L79" s="734">
        <f t="shared" si="11"/>
        <v>127.005872</v>
      </c>
      <c r="M79" s="734">
        <f t="shared" si="11"/>
        <v>180.52977519999999</v>
      </c>
    </row>
    <row r="80" spans="1:13" x14ac:dyDescent="0.2">
      <c r="A80" s="735">
        <v>18</v>
      </c>
      <c r="B80" s="730">
        <v>260</v>
      </c>
      <c r="C80" s="731">
        <v>310</v>
      </c>
      <c r="D80" s="76">
        <v>310</v>
      </c>
      <c r="E80" s="731">
        <v>345</v>
      </c>
      <c r="F80" s="732">
        <v>502</v>
      </c>
      <c r="H80" s="733">
        <f>A80*25.4</f>
        <v>457.2</v>
      </c>
      <c r="I80" s="734">
        <f t="shared" si="11"/>
        <v>117.93402400000001</v>
      </c>
      <c r="J80" s="734">
        <f t="shared" si="11"/>
        <v>140.61364399999999</v>
      </c>
      <c r="K80" s="734">
        <f t="shared" si="11"/>
        <v>140.61364399999999</v>
      </c>
      <c r="L80" s="734">
        <f t="shared" si="11"/>
        <v>156.48937800000002</v>
      </c>
      <c r="M80" s="734">
        <f t="shared" si="11"/>
        <v>227.70338480000001</v>
      </c>
    </row>
    <row r="81" spans="1:13" x14ac:dyDescent="0.2">
      <c r="A81" s="735">
        <v>20</v>
      </c>
      <c r="B81" s="730">
        <v>445</v>
      </c>
      <c r="C81" s="731">
        <v>378</v>
      </c>
      <c r="D81" s="76">
        <v>378</v>
      </c>
      <c r="E81" s="731">
        <v>420</v>
      </c>
      <c r="F81" s="732">
        <v>621</v>
      </c>
      <c r="H81" s="733">
        <f>A81*25.4</f>
        <v>508</v>
      </c>
      <c r="I81" s="734">
        <f t="shared" si="11"/>
        <v>201.84861800000002</v>
      </c>
      <c r="J81" s="734">
        <f t="shared" si="11"/>
        <v>171.4579272</v>
      </c>
      <c r="K81" s="734">
        <f t="shared" si="11"/>
        <v>171.4579272</v>
      </c>
      <c r="L81" s="734">
        <f t="shared" si="11"/>
        <v>190.50880800000002</v>
      </c>
      <c r="M81" s="734">
        <f t="shared" si="11"/>
        <v>281.68088039999998</v>
      </c>
    </row>
    <row r="82" spans="1:13" ht="13.5" thickBot="1" x14ac:dyDescent="0.25">
      <c r="A82" s="744">
        <v>24</v>
      </c>
      <c r="B82" s="738">
        <v>640</v>
      </c>
      <c r="C82" s="739">
        <v>539</v>
      </c>
      <c r="D82" s="740">
        <v>539</v>
      </c>
      <c r="E82" s="739">
        <v>615</v>
      </c>
      <c r="F82" s="741">
        <v>936</v>
      </c>
      <c r="H82" s="742">
        <f>A82*25.4</f>
        <v>609.59999999999991</v>
      </c>
      <c r="I82" s="745">
        <f t="shared" si="11"/>
        <v>290.29913599999998</v>
      </c>
      <c r="J82" s="745">
        <f t="shared" si="11"/>
        <v>244.48630360000001</v>
      </c>
      <c r="K82" s="745">
        <f t="shared" si="11"/>
        <v>244.48630360000001</v>
      </c>
      <c r="L82" s="745">
        <f t="shared" si="11"/>
        <v>278.95932599999998</v>
      </c>
      <c r="M82" s="745">
        <f t="shared" si="11"/>
        <v>424.56248640000001</v>
      </c>
    </row>
    <row r="83" spans="1:13" ht="13.5" thickTop="1" x14ac:dyDescent="0.2"/>
    <row r="84" spans="1:13" ht="20.25" x14ac:dyDescent="0.3">
      <c r="D84" s="719"/>
      <c r="E84" s="719" t="s">
        <v>1911</v>
      </c>
    </row>
    <row r="85" spans="1:13" ht="16.5" thickBot="1" x14ac:dyDescent="0.3">
      <c r="C85" s="35" t="s">
        <v>1805</v>
      </c>
      <c r="J85" s="35" t="s">
        <v>1806</v>
      </c>
    </row>
    <row r="86" spans="1:13" ht="13.5" thickTop="1" x14ac:dyDescent="0.2">
      <c r="A86" s="502" t="s">
        <v>1867</v>
      </c>
      <c r="B86" s="721" t="s">
        <v>1912</v>
      </c>
      <c r="C86" s="721" t="s">
        <v>1912</v>
      </c>
      <c r="D86" s="721" t="s">
        <v>1912</v>
      </c>
      <c r="E86" s="721" t="s">
        <v>1912</v>
      </c>
      <c r="F86" s="721" t="s">
        <v>1912</v>
      </c>
      <c r="G86" s="464"/>
      <c r="H86" s="502" t="s">
        <v>1867</v>
      </c>
      <c r="I86" s="721" t="s">
        <v>1912</v>
      </c>
      <c r="J86" s="721" t="s">
        <v>1912</v>
      </c>
      <c r="K86" s="721" t="s">
        <v>1912</v>
      </c>
      <c r="L86" s="721" t="s">
        <v>1912</v>
      </c>
      <c r="M86" s="721" t="s">
        <v>1912</v>
      </c>
    </row>
    <row r="87" spans="1:13" x14ac:dyDescent="0.2">
      <c r="A87" s="510" t="s">
        <v>1556</v>
      </c>
      <c r="B87" s="513" t="s">
        <v>1900</v>
      </c>
      <c r="C87" s="513" t="s">
        <v>1901</v>
      </c>
      <c r="D87" s="513" t="s">
        <v>1902</v>
      </c>
      <c r="E87" s="513" t="s">
        <v>1903</v>
      </c>
      <c r="F87" s="513" t="s">
        <v>1904</v>
      </c>
      <c r="G87" s="464"/>
      <c r="H87" s="510" t="s">
        <v>1556</v>
      </c>
      <c r="I87" s="513" t="s">
        <v>1900</v>
      </c>
      <c r="J87" s="513" t="s">
        <v>1901</v>
      </c>
      <c r="K87" s="513" t="s">
        <v>1902</v>
      </c>
      <c r="L87" s="513" t="s">
        <v>1903</v>
      </c>
      <c r="M87" s="513" t="s">
        <v>1904</v>
      </c>
    </row>
    <row r="88" spans="1:13" x14ac:dyDescent="0.2">
      <c r="A88" s="510" t="s">
        <v>894</v>
      </c>
      <c r="B88" s="513" t="s">
        <v>1905</v>
      </c>
      <c r="C88" s="513" t="s">
        <v>1905</v>
      </c>
      <c r="D88" s="513" t="s">
        <v>1905</v>
      </c>
      <c r="E88" s="513" t="s">
        <v>1905</v>
      </c>
      <c r="F88" s="513" t="s">
        <v>1905</v>
      </c>
      <c r="G88" s="464"/>
      <c r="H88" s="510" t="s">
        <v>894</v>
      </c>
      <c r="I88" s="513" t="s">
        <v>1905</v>
      </c>
      <c r="J88" s="513" t="s">
        <v>1905</v>
      </c>
      <c r="K88" s="513" t="s">
        <v>1905</v>
      </c>
      <c r="L88" s="513" t="s">
        <v>1905</v>
      </c>
      <c r="M88" s="513" t="s">
        <v>1905</v>
      </c>
    </row>
    <row r="89" spans="1:13" ht="13.5" thickBot="1" x14ac:dyDescent="0.25">
      <c r="A89" s="517" t="s">
        <v>1802</v>
      </c>
      <c r="B89" s="718" t="s">
        <v>1906</v>
      </c>
      <c r="C89" s="718" t="s">
        <v>1906</v>
      </c>
      <c r="D89" s="718" t="s">
        <v>1906</v>
      </c>
      <c r="E89" s="718" t="s">
        <v>1906</v>
      </c>
      <c r="F89" s="718" t="s">
        <v>1906</v>
      </c>
      <c r="G89" s="464"/>
      <c r="H89" s="517" t="s">
        <v>1803</v>
      </c>
      <c r="I89" s="517" t="s">
        <v>1840</v>
      </c>
      <c r="J89" s="517" t="s">
        <v>1840</v>
      </c>
      <c r="K89" s="517" t="s">
        <v>1840</v>
      </c>
      <c r="L89" s="517" t="s">
        <v>1840</v>
      </c>
      <c r="M89" s="517" t="s">
        <v>1840</v>
      </c>
    </row>
    <row r="90" spans="1:13" ht="13.5" thickTop="1" x14ac:dyDescent="0.2">
      <c r="A90" s="722">
        <v>0.5</v>
      </c>
      <c r="B90" s="723">
        <v>3</v>
      </c>
      <c r="C90" s="724">
        <v>2</v>
      </c>
      <c r="D90" s="725">
        <v>2</v>
      </c>
      <c r="E90" s="724">
        <v>2</v>
      </c>
      <c r="F90" s="726">
        <v>2</v>
      </c>
      <c r="H90" s="727">
        <f>A90*25.4</f>
        <v>12.7</v>
      </c>
      <c r="I90" s="728">
        <f>B90*0.4535924</f>
        <v>1.3607772</v>
      </c>
      <c r="J90" s="728">
        <f>C90*0.4535924</f>
        <v>0.90718480000000001</v>
      </c>
      <c r="K90" s="728">
        <f>D90*0.4535924</f>
        <v>0.90718480000000001</v>
      </c>
      <c r="L90" s="728">
        <f>E90*0.4535924</f>
        <v>0.90718480000000001</v>
      </c>
      <c r="M90" s="728">
        <f>F90*0.4535924</f>
        <v>0.90718480000000001</v>
      </c>
    </row>
    <row r="91" spans="1:13" x14ac:dyDescent="0.2">
      <c r="A91" s="729">
        <v>0.75</v>
      </c>
      <c r="B91" s="730">
        <v>3.5</v>
      </c>
      <c r="C91" s="731">
        <v>3</v>
      </c>
      <c r="D91" s="76">
        <v>3</v>
      </c>
      <c r="E91" s="731">
        <v>3</v>
      </c>
      <c r="F91" s="732">
        <v>3</v>
      </c>
      <c r="H91" s="733">
        <f>A91*25.4</f>
        <v>19.049999999999997</v>
      </c>
      <c r="I91" s="734">
        <f t="shared" ref="I91:M94" si="12">B91*0.4535924</f>
        <v>1.5875734000000001</v>
      </c>
      <c r="J91" s="734">
        <f t="shared" si="12"/>
        <v>1.3607772</v>
      </c>
      <c r="K91" s="734">
        <f t="shared" si="12"/>
        <v>1.3607772</v>
      </c>
      <c r="L91" s="734">
        <f t="shared" si="12"/>
        <v>1.3607772</v>
      </c>
      <c r="M91" s="734">
        <f t="shared" si="12"/>
        <v>1.3607772</v>
      </c>
    </row>
    <row r="92" spans="1:13" x14ac:dyDescent="0.2">
      <c r="A92" s="735">
        <v>1</v>
      </c>
      <c r="B92" s="730">
        <v>4</v>
      </c>
      <c r="C92" s="731">
        <v>3.5</v>
      </c>
      <c r="D92" s="76">
        <v>3.5</v>
      </c>
      <c r="E92" s="731">
        <v>3.5</v>
      </c>
      <c r="F92" s="732">
        <v>4</v>
      </c>
      <c r="H92" s="733">
        <f>A92*25.4</f>
        <v>25.4</v>
      </c>
      <c r="I92" s="734">
        <f t="shared" si="12"/>
        <v>1.8143696</v>
      </c>
      <c r="J92" s="734">
        <f t="shared" si="12"/>
        <v>1.5875734000000001</v>
      </c>
      <c r="K92" s="734">
        <f t="shared" si="12"/>
        <v>1.5875734000000001</v>
      </c>
      <c r="L92" s="734">
        <f t="shared" si="12"/>
        <v>1.5875734000000001</v>
      </c>
      <c r="M92" s="734">
        <f t="shared" si="12"/>
        <v>1.8143696</v>
      </c>
    </row>
    <row r="93" spans="1:13" x14ac:dyDescent="0.2">
      <c r="A93" s="736">
        <v>1.25</v>
      </c>
      <c r="B93" s="730">
        <v>5.5</v>
      </c>
      <c r="C93" s="731">
        <v>4.5</v>
      </c>
      <c r="D93" s="76">
        <v>4.5</v>
      </c>
      <c r="E93" s="731">
        <v>4.5</v>
      </c>
      <c r="F93" s="732">
        <v>6</v>
      </c>
      <c r="H93" s="733">
        <f>A93*25.4</f>
        <v>31.75</v>
      </c>
      <c r="I93" s="734">
        <f t="shared" si="12"/>
        <v>2.4947582000000001</v>
      </c>
      <c r="J93" s="734">
        <f t="shared" si="12"/>
        <v>2.0411657999999999</v>
      </c>
      <c r="K93" s="734">
        <f t="shared" si="12"/>
        <v>2.0411657999999999</v>
      </c>
      <c r="L93" s="734">
        <f t="shared" si="12"/>
        <v>2.0411657999999999</v>
      </c>
      <c r="M93" s="734">
        <f t="shared" si="12"/>
        <v>2.7215544</v>
      </c>
    </row>
    <row r="94" spans="1:13" ht="13.5" thickBot="1" x14ac:dyDescent="0.25">
      <c r="A94" s="737">
        <v>1.5</v>
      </c>
      <c r="B94" s="738">
        <v>8</v>
      </c>
      <c r="C94" s="739">
        <v>6.5</v>
      </c>
      <c r="D94" s="740">
        <v>6.5</v>
      </c>
      <c r="E94" s="739">
        <v>6.5</v>
      </c>
      <c r="F94" s="741">
        <v>8</v>
      </c>
      <c r="H94" s="742">
        <f>A94*25.4</f>
        <v>38.099999999999994</v>
      </c>
      <c r="I94" s="734">
        <f t="shared" si="12"/>
        <v>3.6287392000000001</v>
      </c>
      <c r="J94" s="734">
        <f t="shared" si="12"/>
        <v>2.9483505999999999</v>
      </c>
      <c r="K94" s="734">
        <f t="shared" si="12"/>
        <v>2.9483505999999999</v>
      </c>
      <c r="L94" s="734">
        <f t="shared" si="12"/>
        <v>2.9483505999999999</v>
      </c>
      <c r="M94" s="734">
        <f t="shared" si="12"/>
        <v>3.6287392000000001</v>
      </c>
    </row>
    <row r="95" spans="1:13" ht="13.5" thickTop="1" x14ac:dyDescent="0.2">
      <c r="A95" s="743">
        <v>2</v>
      </c>
      <c r="B95" s="723">
        <v>10</v>
      </c>
      <c r="C95" s="724">
        <v>8</v>
      </c>
      <c r="D95" s="725">
        <v>8</v>
      </c>
      <c r="E95" s="724">
        <v>8</v>
      </c>
      <c r="F95" s="726">
        <v>10</v>
      </c>
      <c r="H95" s="727">
        <f>A96*25.4</f>
        <v>63.5</v>
      </c>
      <c r="I95" s="728">
        <f>B95*0.4535924</f>
        <v>4.5359239999999996</v>
      </c>
      <c r="J95" s="728">
        <f>C95*0.4535924</f>
        <v>3.6287392000000001</v>
      </c>
      <c r="K95" s="728">
        <f>D95*0.4535924</f>
        <v>3.6287392000000001</v>
      </c>
      <c r="L95" s="728">
        <f>E95*0.4535924</f>
        <v>3.6287392000000001</v>
      </c>
      <c r="M95" s="728">
        <f>F95*0.4535924</f>
        <v>4.5359239999999996</v>
      </c>
    </row>
    <row r="96" spans="1:13" x14ac:dyDescent="0.2">
      <c r="A96" s="736">
        <v>2.5</v>
      </c>
      <c r="B96" s="730">
        <v>14</v>
      </c>
      <c r="C96" s="731">
        <v>12</v>
      </c>
      <c r="D96" s="76">
        <v>12</v>
      </c>
      <c r="E96" s="731">
        <v>11</v>
      </c>
      <c r="F96" s="732">
        <v>15</v>
      </c>
      <c r="H96" s="733">
        <f>A96*25.4</f>
        <v>63.5</v>
      </c>
      <c r="I96" s="734">
        <f t="shared" ref="I96:M99" si="13">B96*0.4535924</f>
        <v>6.3502936000000005</v>
      </c>
      <c r="J96" s="734">
        <f t="shared" si="13"/>
        <v>5.4431088000000001</v>
      </c>
      <c r="K96" s="734">
        <f t="shared" si="13"/>
        <v>5.4431088000000001</v>
      </c>
      <c r="L96" s="734">
        <f t="shared" si="13"/>
        <v>4.9895164000000003</v>
      </c>
      <c r="M96" s="734">
        <f t="shared" si="13"/>
        <v>6.8038860000000003</v>
      </c>
    </row>
    <row r="97" spans="1:13" x14ac:dyDescent="0.2">
      <c r="A97" s="735">
        <v>3</v>
      </c>
      <c r="B97" s="730">
        <v>18</v>
      </c>
      <c r="C97" s="731">
        <v>15</v>
      </c>
      <c r="D97" s="76">
        <v>15</v>
      </c>
      <c r="E97" s="731">
        <v>14</v>
      </c>
      <c r="F97" s="732">
        <v>20</v>
      </c>
      <c r="H97" s="733">
        <f>A97*25.4</f>
        <v>76.199999999999989</v>
      </c>
      <c r="I97" s="734">
        <f t="shared" si="13"/>
        <v>8.1646631999999997</v>
      </c>
      <c r="J97" s="734">
        <f t="shared" si="13"/>
        <v>6.8038860000000003</v>
      </c>
      <c r="K97" s="734">
        <f t="shared" si="13"/>
        <v>6.8038860000000003</v>
      </c>
      <c r="L97" s="734">
        <f t="shared" si="13"/>
        <v>6.3502936000000005</v>
      </c>
      <c r="M97" s="734">
        <f t="shared" si="13"/>
        <v>9.0718479999999992</v>
      </c>
    </row>
    <row r="98" spans="1:13" x14ac:dyDescent="0.2">
      <c r="A98" s="736">
        <v>3.5</v>
      </c>
      <c r="B98" s="730">
        <v>26</v>
      </c>
      <c r="C98" s="731">
        <v>21</v>
      </c>
      <c r="D98" s="76">
        <v>21</v>
      </c>
      <c r="E98" s="731">
        <v>20</v>
      </c>
      <c r="F98" s="732">
        <v>29</v>
      </c>
      <c r="H98" s="733">
        <f>A98*25.4</f>
        <v>88.899999999999991</v>
      </c>
      <c r="I98" s="734">
        <f t="shared" si="13"/>
        <v>11.7934024</v>
      </c>
      <c r="J98" s="734">
        <f t="shared" si="13"/>
        <v>9.5254404000000008</v>
      </c>
      <c r="K98" s="734">
        <f t="shared" si="13"/>
        <v>9.5254404000000008</v>
      </c>
      <c r="L98" s="734">
        <f t="shared" si="13"/>
        <v>9.0718479999999992</v>
      </c>
      <c r="M98" s="734">
        <f t="shared" si="13"/>
        <v>13.154179600000001</v>
      </c>
    </row>
    <row r="99" spans="1:13" ht="13.5" thickBot="1" x14ac:dyDescent="0.25">
      <c r="A99" s="744">
        <v>4</v>
      </c>
      <c r="B99" s="738">
        <v>37</v>
      </c>
      <c r="C99" s="739">
        <v>33</v>
      </c>
      <c r="D99" s="740">
        <v>33</v>
      </c>
      <c r="E99" s="739">
        <v>31</v>
      </c>
      <c r="F99" s="741">
        <v>41</v>
      </c>
      <c r="H99" s="742">
        <f>A99*25.4</f>
        <v>101.6</v>
      </c>
      <c r="I99" s="734">
        <f t="shared" si="13"/>
        <v>16.782918800000001</v>
      </c>
      <c r="J99" s="734">
        <f t="shared" si="13"/>
        <v>14.9685492</v>
      </c>
      <c r="K99" s="734">
        <f t="shared" si="13"/>
        <v>14.9685492</v>
      </c>
      <c r="L99" s="734">
        <f t="shared" si="13"/>
        <v>14.0613644</v>
      </c>
      <c r="M99" s="734">
        <f t="shared" si="13"/>
        <v>18.5972884</v>
      </c>
    </row>
    <row r="100" spans="1:13" ht="13.5" thickTop="1" x14ac:dyDescent="0.2">
      <c r="A100" s="743">
        <v>5</v>
      </c>
      <c r="B100" s="723">
        <v>68</v>
      </c>
      <c r="C100" s="724">
        <v>56</v>
      </c>
      <c r="D100" s="725">
        <v>63</v>
      </c>
      <c r="E100" s="724">
        <v>63</v>
      </c>
      <c r="F100" s="726">
        <v>68</v>
      </c>
      <c r="H100" s="727">
        <f>A101*25.4</f>
        <v>152.39999999999998</v>
      </c>
      <c r="I100" s="728">
        <f>B100*0.4535924</f>
        <v>30.8442832</v>
      </c>
      <c r="J100" s="728">
        <f>C100*0.4535924</f>
        <v>25.401174400000002</v>
      </c>
      <c r="K100" s="728">
        <f>D100*0.4535924</f>
        <v>28.576321199999999</v>
      </c>
      <c r="L100" s="728">
        <f>E100*0.4535924</f>
        <v>28.576321199999999</v>
      </c>
      <c r="M100" s="728">
        <f>F100*0.4535924</f>
        <v>30.8442832</v>
      </c>
    </row>
    <row r="101" spans="1:13" x14ac:dyDescent="0.2">
      <c r="A101" s="735">
        <v>6</v>
      </c>
      <c r="B101" s="730">
        <v>73</v>
      </c>
      <c r="C101" s="731">
        <v>66</v>
      </c>
      <c r="D101" s="76">
        <v>80</v>
      </c>
      <c r="E101" s="731">
        <v>78</v>
      </c>
      <c r="F101" s="732">
        <v>86</v>
      </c>
      <c r="H101" s="733">
        <f>A101*25.4</f>
        <v>152.39999999999998</v>
      </c>
      <c r="I101" s="734">
        <f t="shared" ref="I101:M104" si="14">B101*0.4535924</f>
        <v>33.112245200000004</v>
      </c>
      <c r="J101" s="734">
        <f t="shared" si="14"/>
        <v>29.9370984</v>
      </c>
      <c r="K101" s="734">
        <f t="shared" si="14"/>
        <v>36.287391999999997</v>
      </c>
      <c r="L101" s="734">
        <f t="shared" si="14"/>
        <v>35.380207200000001</v>
      </c>
      <c r="M101" s="734">
        <f t="shared" si="14"/>
        <v>39.008946399999999</v>
      </c>
    </row>
    <row r="102" spans="1:13" x14ac:dyDescent="0.2">
      <c r="A102" s="735">
        <v>8</v>
      </c>
      <c r="B102" s="730">
        <v>112</v>
      </c>
      <c r="C102" s="731">
        <v>97</v>
      </c>
      <c r="D102" s="76">
        <v>97</v>
      </c>
      <c r="E102" s="731">
        <v>112</v>
      </c>
      <c r="F102" s="732">
        <v>139</v>
      </c>
      <c r="H102" s="733">
        <f>A102*25.4</f>
        <v>203.2</v>
      </c>
      <c r="I102" s="734">
        <f t="shared" si="14"/>
        <v>50.802348800000004</v>
      </c>
      <c r="J102" s="734">
        <f t="shared" si="14"/>
        <v>43.998462799999999</v>
      </c>
      <c r="K102" s="734">
        <f t="shared" si="14"/>
        <v>43.998462799999999</v>
      </c>
      <c r="L102" s="734">
        <f t="shared" si="14"/>
        <v>50.802348800000004</v>
      </c>
      <c r="M102" s="734">
        <f t="shared" si="14"/>
        <v>63.0493436</v>
      </c>
    </row>
    <row r="103" spans="1:13" x14ac:dyDescent="0.2">
      <c r="A103" s="735">
        <v>10</v>
      </c>
      <c r="B103" s="730">
        <v>189</v>
      </c>
      <c r="C103" s="731">
        <v>177</v>
      </c>
      <c r="D103" s="76">
        <v>177</v>
      </c>
      <c r="E103" s="731">
        <v>195</v>
      </c>
      <c r="F103" s="732">
        <v>231</v>
      </c>
      <c r="H103" s="733">
        <f>A103*25.4</f>
        <v>254</v>
      </c>
      <c r="I103" s="734">
        <f t="shared" si="14"/>
        <v>85.7289636</v>
      </c>
      <c r="J103" s="734">
        <f t="shared" si="14"/>
        <v>80.285854799999996</v>
      </c>
      <c r="K103" s="734">
        <f t="shared" si="14"/>
        <v>80.285854799999996</v>
      </c>
      <c r="L103" s="734">
        <f t="shared" si="14"/>
        <v>88.450518000000002</v>
      </c>
      <c r="M103" s="734">
        <f t="shared" si="14"/>
        <v>104.7798444</v>
      </c>
    </row>
    <row r="104" spans="1:13" ht="13.5" thickBot="1" x14ac:dyDescent="0.25">
      <c r="A104" s="744">
        <v>12</v>
      </c>
      <c r="B104" s="738">
        <v>226</v>
      </c>
      <c r="C104" s="739">
        <v>215</v>
      </c>
      <c r="D104" s="740">
        <v>215</v>
      </c>
      <c r="E104" s="739">
        <v>240</v>
      </c>
      <c r="F104" s="741">
        <v>295</v>
      </c>
      <c r="H104" s="742">
        <f>A104*25.4</f>
        <v>304.79999999999995</v>
      </c>
      <c r="I104" s="734">
        <f t="shared" si="14"/>
        <v>102.5118824</v>
      </c>
      <c r="J104" s="734">
        <f t="shared" si="14"/>
        <v>97.522366000000005</v>
      </c>
      <c r="K104" s="734">
        <f t="shared" si="14"/>
        <v>97.522366000000005</v>
      </c>
      <c r="L104" s="734">
        <f t="shared" si="14"/>
        <v>108.86217600000001</v>
      </c>
      <c r="M104" s="734">
        <f t="shared" si="14"/>
        <v>133.80975799999999</v>
      </c>
    </row>
    <row r="105" spans="1:13" ht="13.5" thickTop="1" x14ac:dyDescent="0.2">
      <c r="A105" s="743">
        <v>14</v>
      </c>
      <c r="B105" s="723">
        <v>268</v>
      </c>
      <c r="C105" s="724">
        <v>259</v>
      </c>
      <c r="D105" s="725">
        <v>259</v>
      </c>
      <c r="E105" s="724">
        <v>290</v>
      </c>
      <c r="F105" s="726">
        <v>378</v>
      </c>
      <c r="H105" s="727">
        <f>A106*25.4</f>
        <v>406.4</v>
      </c>
      <c r="I105" s="728">
        <f>B105*0.4535924</f>
        <v>121.56276320000001</v>
      </c>
      <c r="J105" s="728">
        <f>C105*0.4535924</f>
        <v>117.4804316</v>
      </c>
      <c r="K105" s="728">
        <f>D105*0.4535924</f>
        <v>117.4804316</v>
      </c>
      <c r="L105" s="728">
        <f>E105*0.4535924</f>
        <v>131.54179600000001</v>
      </c>
      <c r="M105" s="728">
        <f>F105*0.4535924</f>
        <v>171.4579272</v>
      </c>
    </row>
    <row r="106" spans="1:13" x14ac:dyDescent="0.2">
      <c r="A106" s="735">
        <v>16</v>
      </c>
      <c r="B106" s="730">
        <v>481</v>
      </c>
      <c r="C106" s="731">
        <v>366</v>
      </c>
      <c r="D106" s="76">
        <v>366</v>
      </c>
      <c r="E106" s="731">
        <v>400</v>
      </c>
      <c r="F106" s="732">
        <v>527</v>
      </c>
      <c r="H106" s="733">
        <f>A106*25.4</f>
        <v>406.4</v>
      </c>
      <c r="I106" s="734">
        <f t="shared" ref="I106:M109" si="15">B106*0.4535924</f>
        <v>218.1779444</v>
      </c>
      <c r="J106" s="734">
        <f t="shared" si="15"/>
        <v>166.0148184</v>
      </c>
      <c r="K106" s="734">
        <f t="shared" si="15"/>
        <v>166.0148184</v>
      </c>
      <c r="L106" s="734">
        <f t="shared" si="15"/>
        <v>181.43696</v>
      </c>
      <c r="M106" s="734">
        <f t="shared" si="15"/>
        <v>239.04319480000001</v>
      </c>
    </row>
    <row r="107" spans="1:13" x14ac:dyDescent="0.2">
      <c r="A107" s="735">
        <v>18</v>
      </c>
      <c r="B107" s="730">
        <v>555</v>
      </c>
      <c r="C107" s="731">
        <v>476</v>
      </c>
      <c r="D107" s="76">
        <v>476</v>
      </c>
      <c r="E107" s="731">
        <v>469</v>
      </c>
      <c r="F107" s="732">
        <v>665</v>
      </c>
      <c r="H107" s="733">
        <f>A107*25.4</f>
        <v>457.2</v>
      </c>
      <c r="I107" s="734">
        <f t="shared" si="15"/>
        <v>251.74378200000001</v>
      </c>
      <c r="J107" s="734">
        <f t="shared" si="15"/>
        <v>215.90998239999999</v>
      </c>
      <c r="K107" s="734">
        <f t="shared" si="15"/>
        <v>215.90998239999999</v>
      </c>
      <c r="L107" s="734">
        <f t="shared" si="15"/>
        <v>212.7348356</v>
      </c>
      <c r="M107" s="734">
        <f t="shared" si="15"/>
        <v>301.63894600000003</v>
      </c>
    </row>
    <row r="108" spans="1:13" x14ac:dyDescent="0.2">
      <c r="A108" s="735">
        <v>20</v>
      </c>
      <c r="B108" s="730">
        <v>690</v>
      </c>
      <c r="C108" s="731">
        <v>612</v>
      </c>
      <c r="D108" s="76">
        <v>612</v>
      </c>
      <c r="E108" s="731">
        <v>604</v>
      </c>
      <c r="F108" s="732">
        <v>855</v>
      </c>
      <c r="H108" s="733">
        <f>A108*25.4</f>
        <v>508</v>
      </c>
      <c r="I108" s="734">
        <f t="shared" si="15"/>
        <v>312.97875600000003</v>
      </c>
      <c r="J108" s="734">
        <f t="shared" si="15"/>
        <v>277.5985488</v>
      </c>
      <c r="K108" s="734">
        <f t="shared" si="15"/>
        <v>277.5985488</v>
      </c>
      <c r="L108" s="734">
        <f t="shared" si="15"/>
        <v>273.96980960000002</v>
      </c>
      <c r="M108" s="734">
        <f t="shared" si="15"/>
        <v>387.82150200000001</v>
      </c>
    </row>
    <row r="109" spans="1:13" ht="13.5" thickBot="1" x14ac:dyDescent="0.25">
      <c r="A109" s="744">
        <v>24</v>
      </c>
      <c r="B109" s="738">
        <v>977</v>
      </c>
      <c r="C109" s="739">
        <v>876</v>
      </c>
      <c r="D109" s="740">
        <v>876</v>
      </c>
      <c r="E109" s="739">
        <v>866</v>
      </c>
      <c r="F109" s="741">
        <v>1175</v>
      </c>
      <c r="H109" s="742">
        <f>A109*25.4</f>
        <v>609.59999999999991</v>
      </c>
      <c r="I109" s="745">
        <f t="shared" si="15"/>
        <v>443.15977479999998</v>
      </c>
      <c r="J109" s="745">
        <f t="shared" si="15"/>
        <v>397.34694239999999</v>
      </c>
      <c r="K109" s="745">
        <f t="shared" si="15"/>
        <v>397.34694239999999</v>
      </c>
      <c r="L109" s="745">
        <f t="shared" si="15"/>
        <v>392.81101840000002</v>
      </c>
      <c r="M109" s="745">
        <f t="shared" si="15"/>
        <v>532.97107000000005</v>
      </c>
    </row>
    <row r="110" spans="1:13" ht="13.5" thickTop="1" x14ac:dyDescent="0.2"/>
    <row r="111" spans="1:13" ht="20.25" x14ac:dyDescent="0.3">
      <c r="D111" s="719"/>
      <c r="E111" s="720" t="s">
        <v>1913</v>
      </c>
    </row>
    <row r="112" spans="1:13" ht="16.5" thickBot="1" x14ac:dyDescent="0.3">
      <c r="C112" s="35" t="s">
        <v>1805</v>
      </c>
      <c r="J112" s="35" t="s">
        <v>1806</v>
      </c>
    </row>
    <row r="113" spans="1:13" ht="13.5" thickTop="1" x14ac:dyDescent="0.2">
      <c r="A113" s="502" t="s">
        <v>1867</v>
      </c>
      <c r="B113" s="721" t="s">
        <v>1914</v>
      </c>
      <c r="C113" s="721" t="s">
        <v>1914</v>
      </c>
      <c r="D113" s="721" t="s">
        <v>1914</v>
      </c>
      <c r="E113" s="721" t="s">
        <v>1914</v>
      </c>
      <c r="F113" s="721" t="s">
        <v>1914</v>
      </c>
      <c r="G113" s="464"/>
      <c r="H113" s="502" t="s">
        <v>1867</v>
      </c>
      <c r="I113" s="721" t="s">
        <v>1914</v>
      </c>
      <c r="J113" s="721" t="s">
        <v>1914</v>
      </c>
      <c r="K113" s="721" t="s">
        <v>1914</v>
      </c>
      <c r="L113" s="721" t="s">
        <v>1914</v>
      </c>
      <c r="M113" s="721" t="s">
        <v>1914</v>
      </c>
    </row>
    <row r="114" spans="1:13" x14ac:dyDescent="0.2">
      <c r="A114" s="510" t="s">
        <v>1556</v>
      </c>
      <c r="B114" s="513" t="s">
        <v>1900</v>
      </c>
      <c r="C114" s="513" t="s">
        <v>1901</v>
      </c>
      <c r="D114" s="513" t="s">
        <v>1902</v>
      </c>
      <c r="E114" s="513" t="s">
        <v>1903</v>
      </c>
      <c r="F114" s="513" t="s">
        <v>1904</v>
      </c>
      <c r="G114" s="464"/>
      <c r="H114" s="510" t="s">
        <v>1556</v>
      </c>
      <c r="I114" s="513" t="s">
        <v>1900</v>
      </c>
      <c r="J114" s="513" t="s">
        <v>1901</v>
      </c>
      <c r="K114" s="513" t="s">
        <v>1902</v>
      </c>
      <c r="L114" s="513" t="s">
        <v>1903</v>
      </c>
      <c r="M114" s="513" t="s">
        <v>1904</v>
      </c>
    </row>
    <row r="115" spans="1:13" x14ac:dyDescent="0.2">
      <c r="A115" s="510" t="s">
        <v>894</v>
      </c>
      <c r="B115" s="513" t="s">
        <v>1905</v>
      </c>
      <c r="C115" s="513" t="s">
        <v>1905</v>
      </c>
      <c r="D115" s="513" t="s">
        <v>1905</v>
      </c>
      <c r="E115" s="513" t="s">
        <v>1905</v>
      </c>
      <c r="F115" s="513" t="s">
        <v>1905</v>
      </c>
      <c r="G115" s="464"/>
      <c r="H115" s="510" t="s">
        <v>894</v>
      </c>
      <c r="I115" s="513" t="s">
        <v>1905</v>
      </c>
      <c r="J115" s="513" t="s">
        <v>1905</v>
      </c>
      <c r="K115" s="513" t="s">
        <v>1905</v>
      </c>
      <c r="L115" s="513" t="s">
        <v>1905</v>
      </c>
      <c r="M115" s="513" t="s">
        <v>1905</v>
      </c>
    </row>
    <row r="116" spans="1:13" ht="13.5" thickBot="1" x14ac:dyDescent="0.25">
      <c r="A116" s="517" t="s">
        <v>1802</v>
      </c>
      <c r="B116" s="718" t="s">
        <v>1906</v>
      </c>
      <c r="C116" s="718" t="s">
        <v>1906</v>
      </c>
      <c r="D116" s="718" t="s">
        <v>1906</v>
      </c>
      <c r="E116" s="718" t="s">
        <v>1906</v>
      </c>
      <c r="F116" s="718" t="s">
        <v>1906</v>
      </c>
      <c r="G116" s="464"/>
      <c r="H116" s="517" t="s">
        <v>1803</v>
      </c>
      <c r="I116" s="517" t="s">
        <v>1840</v>
      </c>
      <c r="J116" s="517" t="s">
        <v>1840</v>
      </c>
      <c r="K116" s="517" t="s">
        <v>1840</v>
      </c>
      <c r="L116" s="517" t="s">
        <v>1840</v>
      </c>
      <c r="M116" s="517" t="s">
        <v>1840</v>
      </c>
    </row>
    <row r="117" spans="1:13" ht="13.5" thickTop="1" x14ac:dyDescent="0.2">
      <c r="A117" s="722">
        <v>0.5</v>
      </c>
      <c r="B117" s="723">
        <v>7</v>
      </c>
      <c r="C117" s="724">
        <v>6</v>
      </c>
      <c r="D117" s="725">
        <v>6</v>
      </c>
      <c r="E117" s="724">
        <v>6</v>
      </c>
      <c r="F117" s="726">
        <v>4</v>
      </c>
      <c r="H117" s="727">
        <f>A117*25.4</f>
        <v>12.7</v>
      </c>
      <c r="I117" s="728">
        <f>B117*0.4535924</f>
        <v>3.1751468000000003</v>
      </c>
      <c r="J117" s="728">
        <f>C117*0.4535924</f>
        <v>2.7215544</v>
      </c>
      <c r="K117" s="728">
        <f>D117*0.4535924</f>
        <v>2.7215544</v>
      </c>
      <c r="L117" s="728">
        <f>E117*0.4535924</f>
        <v>2.7215544</v>
      </c>
      <c r="M117" s="728">
        <f>F117*0.4535924</f>
        <v>1.8143696</v>
      </c>
    </row>
    <row r="118" spans="1:13" x14ac:dyDescent="0.2">
      <c r="A118" s="729">
        <v>0.75</v>
      </c>
      <c r="B118" s="730">
        <v>7</v>
      </c>
      <c r="C118" s="731">
        <v>6</v>
      </c>
      <c r="D118" s="76">
        <v>6</v>
      </c>
      <c r="E118" s="731">
        <v>6</v>
      </c>
      <c r="F118" s="732">
        <v>6</v>
      </c>
      <c r="H118" s="733">
        <f>A118*25.4</f>
        <v>19.049999999999997</v>
      </c>
      <c r="I118" s="734">
        <f t="shared" ref="I118:M121" si="16">B118*0.4535924</f>
        <v>3.1751468000000003</v>
      </c>
      <c r="J118" s="734">
        <f t="shared" si="16"/>
        <v>2.7215544</v>
      </c>
      <c r="K118" s="734">
        <f t="shared" si="16"/>
        <v>2.7215544</v>
      </c>
      <c r="L118" s="734">
        <f t="shared" si="16"/>
        <v>2.7215544</v>
      </c>
      <c r="M118" s="734">
        <f t="shared" si="16"/>
        <v>2.7215544</v>
      </c>
    </row>
    <row r="119" spans="1:13" x14ac:dyDescent="0.2">
      <c r="A119" s="735">
        <v>1</v>
      </c>
      <c r="B119" s="730">
        <v>8.5</v>
      </c>
      <c r="C119" s="731">
        <v>7.5</v>
      </c>
      <c r="D119" s="76">
        <v>7.5</v>
      </c>
      <c r="E119" s="731">
        <v>7.5</v>
      </c>
      <c r="F119" s="732">
        <v>9</v>
      </c>
      <c r="H119" s="733">
        <f>A119*25.4</f>
        <v>25.4</v>
      </c>
      <c r="I119" s="734">
        <f t="shared" si="16"/>
        <v>3.8555353999999999</v>
      </c>
      <c r="J119" s="734">
        <f t="shared" si="16"/>
        <v>3.4019430000000002</v>
      </c>
      <c r="K119" s="734">
        <f t="shared" si="16"/>
        <v>3.4019430000000002</v>
      </c>
      <c r="L119" s="734">
        <f t="shared" si="16"/>
        <v>3.4019430000000002</v>
      </c>
      <c r="M119" s="734">
        <f t="shared" si="16"/>
        <v>4.0823315999999998</v>
      </c>
    </row>
    <row r="120" spans="1:13" x14ac:dyDescent="0.2">
      <c r="A120" s="736">
        <v>1.25</v>
      </c>
      <c r="B120" s="730">
        <v>10</v>
      </c>
      <c r="C120" s="731">
        <v>10</v>
      </c>
      <c r="D120" s="76">
        <v>10</v>
      </c>
      <c r="E120" s="731">
        <v>10</v>
      </c>
      <c r="F120" s="732">
        <v>10</v>
      </c>
      <c r="H120" s="733">
        <f>A120*25.4</f>
        <v>31.75</v>
      </c>
      <c r="I120" s="734">
        <f t="shared" si="16"/>
        <v>4.5359239999999996</v>
      </c>
      <c r="J120" s="734">
        <f t="shared" si="16"/>
        <v>4.5359239999999996</v>
      </c>
      <c r="K120" s="734">
        <f t="shared" si="16"/>
        <v>4.5359239999999996</v>
      </c>
      <c r="L120" s="734">
        <f t="shared" si="16"/>
        <v>4.5359239999999996</v>
      </c>
      <c r="M120" s="734">
        <f t="shared" si="16"/>
        <v>4.5359239999999996</v>
      </c>
    </row>
    <row r="121" spans="1:13" ht="13.5" thickBot="1" x14ac:dyDescent="0.25">
      <c r="A121" s="737">
        <v>1.5</v>
      </c>
      <c r="B121" s="738">
        <v>14</v>
      </c>
      <c r="C121" s="739">
        <v>14</v>
      </c>
      <c r="D121" s="740">
        <v>14</v>
      </c>
      <c r="E121" s="739">
        <v>14</v>
      </c>
      <c r="F121" s="741">
        <v>14</v>
      </c>
      <c r="H121" s="742">
        <f>A121*25.4</f>
        <v>38.099999999999994</v>
      </c>
      <c r="I121" s="734">
        <f t="shared" si="16"/>
        <v>6.3502936000000005</v>
      </c>
      <c r="J121" s="734">
        <f t="shared" si="16"/>
        <v>6.3502936000000005</v>
      </c>
      <c r="K121" s="734">
        <f t="shared" si="16"/>
        <v>6.3502936000000005</v>
      </c>
      <c r="L121" s="734">
        <f t="shared" si="16"/>
        <v>6.3502936000000005</v>
      </c>
      <c r="M121" s="734">
        <f t="shared" si="16"/>
        <v>6.3502936000000005</v>
      </c>
    </row>
    <row r="122" spans="1:13" ht="13.5" thickTop="1" x14ac:dyDescent="0.2">
      <c r="A122" s="743">
        <v>2</v>
      </c>
      <c r="B122" s="723">
        <v>24</v>
      </c>
      <c r="C122" s="724">
        <v>22</v>
      </c>
      <c r="D122" s="725">
        <v>22</v>
      </c>
      <c r="E122" s="724">
        <v>21</v>
      </c>
      <c r="F122" s="726">
        <v>25</v>
      </c>
      <c r="H122" s="727">
        <f>A123*25.4</f>
        <v>63.5</v>
      </c>
      <c r="I122" s="728">
        <f>B122*0.4535924</f>
        <v>10.8862176</v>
      </c>
      <c r="J122" s="728">
        <f>C122*0.4535924</f>
        <v>9.9790328000000006</v>
      </c>
      <c r="K122" s="728">
        <f>D122*0.4535924</f>
        <v>9.9790328000000006</v>
      </c>
      <c r="L122" s="728">
        <f>E122*0.4535924</f>
        <v>9.5254404000000008</v>
      </c>
      <c r="M122" s="728">
        <f>F122*0.4535924</f>
        <v>11.33981</v>
      </c>
    </row>
    <row r="123" spans="1:13" x14ac:dyDescent="0.2">
      <c r="A123" s="736">
        <v>2.5</v>
      </c>
      <c r="B123" s="730">
        <v>36</v>
      </c>
      <c r="C123" s="731">
        <v>36</v>
      </c>
      <c r="D123" s="76">
        <v>36</v>
      </c>
      <c r="E123" s="731">
        <v>29</v>
      </c>
      <c r="F123" s="732">
        <v>35</v>
      </c>
      <c r="H123" s="733">
        <f>A123*25.4</f>
        <v>63.5</v>
      </c>
      <c r="I123" s="734">
        <f t="shared" ref="I123:M125" si="17">B123*0.4535924</f>
        <v>16.329326399999999</v>
      </c>
      <c r="J123" s="734">
        <f t="shared" si="17"/>
        <v>16.329326399999999</v>
      </c>
      <c r="K123" s="734">
        <f t="shared" si="17"/>
        <v>16.329326399999999</v>
      </c>
      <c r="L123" s="734">
        <f t="shared" si="17"/>
        <v>13.154179600000001</v>
      </c>
      <c r="M123" s="734">
        <f t="shared" si="17"/>
        <v>15.875734</v>
      </c>
    </row>
    <row r="124" spans="1:13" x14ac:dyDescent="0.2">
      <c r="A124" s="735">
        <v>3</v>
      </c>
      <c r="B124" s="730">
        <v>29</v>
      </c>
      <c r="C124" s="731">
        <v>31</v>
      </c>
      <c r="D124" s="76">
        <v>31</v>
      </c>
      <c r="E124" s="731">
        <v>25</v>
      </c>
      <c r="F124" s="732">
        <v>32</v>
      </c>
      <c r="H124" s="733">
        <f>A124*25.4</f>
        <v>76.199999999999989</v>
      </c>
      <c r="I124" s="734">
        <f t="shared" si="17"/>
        <v>13.154179600000001</v>
      </c>
      <c r="J124" s="734">
        <f t="shared" si="17"/>
        <v>14.0613644</v>
      </c>
      <c r="K124" s="734">
        <f t="shared" si="17"/>
        <v>14.0613644</v>
      </c>
      <c r="L124" s="734">
        <f t="shared" si="17"/>
        <v>11.33981</v>
      </c>
      <c r="M124" s="734">
        <f t="shared" si="17"/>
        <v>14.5149568</v>
      </c>
    </row>
    <row r="125" spans="1:13" ht="13.5" thickBot="1" x14ac:dyDescent="0.25">
      <c r="A125" s="744">
        <v>4</v>
      </c>
      <c r="B125" s="738">
        <v>51</v>
      </c>
      <c r="C125" s="739">
        <v>53</v>
      </c>
      <c r="D125" s="740">
        <v>53</v>
      </c>
      <c r="E125" s="739">
        <v>51</v>
      </c>
      <c r="F125" s="741">
        <v>54</v>
      </c>
      <c r="H125" s="742">
        <f>A125*25.4</f>
        <v>101.6</v>
      </c>
      <c r="I125" s="734">
        <f t="shared" si="17"/>
        <v>23.133212400000001</v>
      </c>
      <c r="J125" s="734">
        <f t="shared" si="17"/>
        <v>24.040397200000001</v>
      </c>
      <c r="K125" s="734">
        <f t="shared" si="17"/>
        <v>24.040397200000001</v>
      </c>
      <c r="L125" s="734">
        <f t="shared" si="17"/>
        <v>23.133212400000001</v>
      </c>
      <c r="M125" s="734">
        <f t="shared" si="17"/>
        <v>24.493989599999999</v>
      </c>
    </row>
    <row r="126" spans="1:13" ht="13.5" thickTop="1" x14ac:dyDescent="0.2">
      <c r="A126" s="743">
        <v>5</v>
      </c>
      <c r="B126" s="723">
        <v>86</v>
      </c>
      <c r="C126" s="724">
        <v>83</v>
      </c>
      <c r="D126" s="725">
        <v>83</v>
      </c>
      <c r="E126" s="724">
        <v>81</v>
      </c>
      <c r="F126" s="726">
        <v>87</v>
      </c>
      <c r="H126" s="727">
        <f>A127*25.4</f>
        <v>152.39999999999998</v>
      </c>
      <c r="I126" s="728">
        <f>B126*0.4535924</f>
        <v>39.008946399999999</v>
      </c>
      <c r="J126" s="728">
        <f>C126*0.4535924</f>
        <v>37.648169199999998</v>
      </c>
      <c r="K126" s="728">
        <f>D126*0.4535924</f>
        <v>37.648169199999998</v>
      </c>
      <c r="L126" s="728">
        <f>E126*0.4535924</f>
        <v>36.740984400000002</v>
      </c>
      <c r="M126" s="728">
        <f>F126*0.4535924</f>
        <v>39.462538799999997</v>
      </c>
    </row>
    <row r="127" spans="1:13" x14ac:dyDescent="0.2">
      <c r="A127" s="735">
        <v>6</v>
      </c>
      <c r="B127" s="730">
        <v>110</v>
      </c>
      <c r="C127" s="731">
        <v>108</v>
      </c>
      <c r="D127" s="76">
        <v>108</v>
      </c>
      <c r="E127" s="731">
        <v>105</v>
      </c>
      <c r="F127" s="732">
        <v>113</v>
      </c>
      <c r="H127" s="733">
        <f>A127*25.4</f>
        <v>152.39999999999998</v>
      </c>
      <c r="I127" s="734">
        <f t="shared" ref="I127:M130" si="18">B127*0.4535924</f>
        <v>49.895164000000001</v>
      </c>
      <c r="J127" s="734">
        <f t="shared" si="18"/>
        <v>48.987979199999998</v>
      </c>
      <c r="K127" s="734">
        <f t="shared" si="18"/>
        <v>48.987979199999998</v>
      </c>
      <c r="L127" s="734">
        <f t="shared" si="18"/>
        <v>47.627202000000004</v>
      </c>
      <c r="M127" s="734">
        <f t="shared" si="18"/>
        <v>51.255941200000002</v>
      </c>
    </row>
    <row r="128" spans="1:13" x14ac:dyDescent="0.2">
      <c r="A128" s="735">
        <v>8</v>
      </c>
      <c r="B128" s="730">
        <v>187</v>
      </c>
      <c r="C128" s="731">
        <v>172</v>
      </c>
      <c r="D128" s="76">
        <v>172</v>
      </c>
      <c r="E128" s="731">
        <v>188</v>
      </c>
      <c r="F128" s="732">
        <v>197</v>
      </c>
      <c r="H128" s="733">
        <f>A128*25.4</f>
        <v>203.2</v>
      </c>
      <c r="I128" s="734">
        <f t="shared" si="18"/>
        <v>84.821778800000004</v>
      </c>
      <c r="J128" s="734">
        <f t="shared" si="18"/>
        <v>78.017892799999998</v>
      </c>
      <c r="K128" s="734">
        <f t="shared" si="18"/>
        <v>78.017892799999998</v>
      </c>
      <c r="L128" s="734">
        <f t="shared" si="18"/>
        <v>85.275371199999995</v>
      </c>
      <c r="M128" s="734">
        <f t="shared" si="18"/>
        <v>89.357702799999998</v>
      </c>
    </row>
    <row r="129" spans="1:13" x14ac:dyDescent="0.2">
      <c r="A129" s="735">
        <v>10</v>
      </c>
      <c r="B129" s="730">
        <v>268</v>
      </c>
      <c r="C129" s="731">
        <v>245</v>
      </c>
      <c r="D129" s="76">
        <v>245</v>
      </c>
      <c r="E129" s="731">
        <v>277</v>
      </c>
      <c r="F129" s="732">
        <v>290</v>
      </c>
      <c r="H129" s="733">
        <f>A129*25.4</f>
        <v>254</v>
      </c>
      <c r="I129" s="734">
        <f t="shared" si="18"/>
        <v>121.56276320000001</v>
      </c>
      <c r="J129" s="734">
        <f t="shared" si="18"/>
        <v>111.130138</v>
      </c>
      <c r="K129" s="734">
        <f t="shared" si="18"/>
        <v>111.130138</v>
      </c>
      <c r="L129" s="734">
        <f t="shared" si="18"/>
        <v>125.6450948</v>
      </c>
      <c r="M129" s="734">
        <f t="shared" si="18"/>
        <v>131.54179600000001</v>
      </c>
    </row>
    <row r="130" spans="1:13" ht="13.5" thickBot="1" x14ac:dyDescent="0.25">
      <c r="A130" s="744">
        <v>12</v>
      </c>
      <c r="B130" s="738">
        <v>372</v>
      </c>
      <c r="C130" s="739">
        <v>326</v>
      </c>
      <c r="D130" s="740">
        <v>326</v>
      </c>
      <c r="E130" s="739">
        <v>371</v>
      </c>
      <c r="F130" s="741">
        <v>413</v>
      </c>
      <c r="H130" s="742">
        <f>A130*25.4</f>
        <v>304.79999999999995</v>
      </c>
      <c r="I130" s="734">
        <f t="shared" si="18"/>
        <v>168.7363728</v>
      </c>
      <c r="J130" s="734">
        <f t="shared" si="18"/>
        <v>147.87112239999999</v>
      </c>
      <c r="K130" s="734">
        <f t="shared" si="18"/>
        <v>147.87112239999999</v>
      </c>
      <c r="L130" s="734">
        <f t="shared" si="18"/>
        <v>168.28278040000001</v>
      </c>
      <c r="M130" s="734">
        <f t="shared" si="18"/>
        <v>187.33366119999999</v>
      </c>
    </row>
    <row r="131" spans="1:13" ht="13.5" thickTop="1" x14ac:dyDescent="0.2">
      <c r="A131" s="743">
        <v>14</v>
      </c>
      <c r="B131" s="723">
        <v>562</v>
      </c>
      <c r="C131" s="724">
        <v>380</v>
      </c>
      <c r="D131" s="725">
        <v>380</v>
      </c>
      <c r="E131" s="724">
        <v>397</v>
      </c>
      <c r="F131" s="726">
        <v>494</v>
      </c>
      <c r="H131" s="727">
        <f>A132*25.4</f>
        <v>406.4</v>
      </c>
      <c r="I131" s="728">
        <f>B131*0.4535924</f>
        <v>254.9189288</v>
      </c>
      <c r="J131" s="728">
        <f>C131*0.4535924</f>
        <v>172.36511200000001</v>
      </c>
      <c r="K131" s="728">
        <f>D131*0.4535924</f>
        <v>172.36511200000001</v>
      </c>
      <c r="L131" s="728">
        <f>E131*0.4535924</f>
        <v>180.0761828</v>
      </c>
      <c r="M131" s="728">
        <f>F131*0.4535924</f>
        <v>224.0746456</v>
      </c>
    </row>
    <row r="132" spans="1:13" x14ac:dyDescent="0.2">
      <c r="A132" s="735">
        <v>16</v>
      </c>
      <c r="B132" s="730">
        <v>685</v>
      </c>
      <c r="C132" s="731">
        <v>459</v>
      </c>
      <c r="D132" s="76">
        <v>459</v>
      </c>
      <c r="E132" s="731">
        <v>488</v>
      </c>
      <c r="F132" s="732">
        <v>619</v>
      </c>
      <c r="H132" s="733">
        <f>A132*25.4</f>
        <v>406.4</v>
      </c>
      <c r="I132" s="734">
        <f t="shared" ref="I132:M135" si="19">B132*0.4535924</f>
        <v>310.71079400000002</v>
      </c>
      <c r="J132" s="734">
        <f t="shared" si="19"/>
        <v>208.1989116</v>
      </c>
      <c r="K132" s="734">
        <f t="shared" si="19"/>
        <v>208.1989116</v>
      </c>
      <c r="L132" s="734">
        <f t="shared" si="19"/>
        <v>221.35309119999999</v>
      </c>
      <c r="M132" s="734">
        <f t="shared" si="19"/>
        <v>280.7736956</v>
      </c>
    </row>
    <row r="133" spans="1:13" x14ac:dyDescent="0.2">
      <c r="A133" s="735">
        <v>18</v>
      </c>
      <c r="B133" s="730">
        <v>924</v>
      </c>
      <c r="C133" s="731">
        <v>647</v>
      </c>
      <c r="D133" s="76">
        <v>647</v>
      </c>
      <c r="E133" s="731">
        <v>670</v>
      </c>
      <c r="F133" s="732">
        <v>880</v>
      </c>
      <c r="H133" s="733">
        <f>A133*25.4</f>
        <v>457.2</v>
      </c>
      <c r="I133" s="734">
        <f t="shared" si="19"/>
        <v>419.11937760000001</v>
      </c>
      <c r="J133" s="734">
        <f t="shared" si="19"/>
        <v>293.47428280000003</v>
      </c>
      <c r="K133" s="734">
        <f t="shared" si="19"/>
        <v>293.47428280000003</v>
      </c>
      <c r="L133" s="734">
        <f t="shared" si="19"/>
        <v>303.90690799999999</v>
      </c>
      <c r="M133" s="734">
        <f t="shared" si="19"/>
        <v>399.16131200000001</v>
      </c>
    </row>
    <row r="134" spans="1:13" x14ac:dyDescent="0.2">
      <c r="A134" s="735">
        <v>20</v>
      </c>
      <c r="B134" s="730">
        <v>1164</v>
      </c>
      <c r="C134" s="731">
        <v>792</v>
      </c>
      <c r="D134" s="76">
        <v>792</v>
      </c>
      <c r="E134" s="731">
        <v>868</v>
      </c>
      <c r="F134" s="732">
        <v>1107</v>
      </c>
      <c r="H134" s="733">
        <f>A134*25.4</f>
        <v>508</v>
      </c>
      <c r="I134" s="734">
        <f t="shared" si="19"/>
        <v>527.98155359999998</v>
      </c>
      <c r="J134" s="734">
        <f t="shared" si="19"/>
        <v>359.24518080000001</v>
      </c>
      <c r="K134" s="734">
        <f t="shared" si="19"/>
        <v>359.24518080000001</v>
      </c>
      <c r="L134" s="734">
        <f t="shared" si="19"/>
        <v>393.7182032</v>
      </c>
      <c r="M134" s="734">
        <f t="shared" si="19"/>
        <v>502.12678679999999</v>
      </c>
    </row>
    <row r="135" spans="1:13" ht="13.5" thickBot="1" x14ac:dyDescent="0.25">
      <c r="A135" s="744">
        <v>24</v>
      </c>
      <c r="B135" s="738">
        <v>2107</v>
      </c>
      <c r="C135" s="739">
        <v>1480</v>
      </c>
      <c r="D135" s="740">
        <v>1480</v>
      </c>
      <c r="E135" s="739">
        <v>1659</v>
      </c>
      <c r="F135" s="741">
        <v>2099</v>
      </c>
      <c r="H135" s="742">
        <f>A135*25.4</f>
        <v>609.59999999999991</v>
      </c>
      <c r="I135" s="745">
        <f t="shared" si="19"/>
        <v>955.71918679999999</v>
      </c>
      <c r="J135" s="745">
        <f t="shared" si="19"/>
        <v>671.31675200000006</v>
      </c>
      <c r="K135" s="745">
        <f t="shared" si="19"/>
        <v>671.31675200000006</v>
      </c>
      <c r="L135" s="745">
        <f t="shared" si="19"/>
        <v>752.50979159999997</v>
      </c>
      <c r="M135" s="745">
        <f t="shared" si="19"/>
        <v>952.09044760000006</v>
      </c>
    </row>
    <row r="136" spans="1:13" ht="13.5" thickTop="1" x14ac:dyDescent="0.2"/>
    <row r="137" spans="1:13" ht="20.25" x14ac:dyDescent="0.3">
      <c r="D137" s="719"/>
      <c r="E137" s="720" t="s">
        <v>1915</v>
      </c>
    </row>
    <row r="138" spans="1:13" ht="16.5" thickBot="1" x14ac:dyDescent="0.3">
      <c r="C138" s="35" t="s">
        <v>1805</v>
      </c>
      <c r="J138" s="35" t="s">
        <v>1806</v>
      </c>
    </row>
    <row r="139" spans="1:13" ht="13.5" thickTop="1" x14ac:dyDescent="0.2">
      <c r="A139" s="502" t="s">
        <v>1867</v>
      </c>
      <c r="B139" s="721" t="s">
        <v>1916</v>
      </c>
      <c r="C139" s="721" t="s">
        <v>1916</v>
      </c>
      <c r="D139" s="721" t="s">
        <v>1916</v>
      </c>
      <c r="E139" s="721" t="s">
        <v>1916</v>
      </c>
      <c r="F139" s="721" t="s">
        <v>1916</v>
      </c>
      <c r="G139" s="464"/>
      <c r="H139" s="502" t="s">
        <v>1867</v>
      </c>
      <c r="I139" s="721" t="s">
        <v>1916</v>
      </c>
      <c r="J139" s="721" t="s">
        <v>1916</v>
      </c>
      <c r="K139" s="721" t="s">
        <v>1916</v>
      </c>
      <c r="L139" s="721" t="s">
        <v>1916</v>
      </c>
      <c r="M139" s="721" t="s">
        <v>1916</v>
      </c>
    </row>
    <row r="140" spans="1:13" x14ac:dyDescent="0.2">
      <c r="A140" s="510" t="s">
        <v>1556</v>
      </c>
      <c r="B140" s="513" t="s">
        <v>1900</v>
      </c>
      <c r="C140" s="513" t="s">
        <v>1901</v>
      </c>
      <c r="D140" s="513" t="s">
        <v>1902</v>
      </c>
      <c r="E140" s="513" t="s">
        <v>1903</v>
      </c>
      <c r="F140" s="513" t="s">
        <v>1904</v>
      </c>
      <c r="G140" s="464"/>
      <c r="H140" s="510" t="s">
        <v>1556</v>
      </c>
      <c r="I140" s="513" t="s">
        <v>1900</v>
      </c>
      <c r="J140" s="513" t="s">
        <v>1901</v>
      </c>
      <c r="K140" s="513" t="s">
        <v>1902</v>
      </c>
      <c r="L140" s="513" t="s">
        <v>1903</v>
      </c>
      <c r="M140" s="513" t="s">
        <v>1904</v>
      </c>
    </row>
    <row r="141" spans="1:13" x14ac:dyDescent="0.2">
      <c r="A141" s="510" t="s">
        <v>894</v>
      </c>
      <c r="B141" s="513" t="s">
        <v>1905</v>
      </c>
      <c r="C141" s="513" t="s">
        <v>1905</v>
      </c>
      <c r="D141" s="513" t="s">
        <v>1905</v>
      </c>
      <c r="E141" s="513" t="s">
        <v>1905</v>
      </c>
      <c r="F141" s="513" t="s">
        <v>1905</v>
      </c>
      <c r="G141" s="464"/>
      <c r="H141" s="510" t="s">
        <v>894</v>
      </c>
      <c r="I141" s="513" t="s">
        <v>1905</v>
      </c>
      <c r="J141" s="513" t="s">
        <v>1905</v>
      </c>
      <c r="K141" s="513" t="s">
        <v>1905</v>
      </c>
      <c r="L141" s="513" t="s">
        <v>1905</v>
      </c>
      <c r="M141" s="513" t="s">
        <v>1905</v>
      </c>
    </row>
    <row r="142" spans="1:13" ht="13.5" thickBot="1" x14ac:dyDescent="0.25">
      <c r="A142" s="517" t="s">
        <v>1802</v>
      </c>
      <c r="B142" s="718" t="s">
        <v>1906</v>
      </c>
      <c r="C142" s="718" t="s">
        <v>1906</v>
      </c>
      <c r="D142" s="718" t="s">
        <v>1906</v>
      </c>
      <c r="E142" s="718" t="s">
        <v>1906</v>
      </c>
      <c r="F142" s="718" t="s">
        <v>1906</v>
      </c>
      <c r="G142" s="464"/>
      <c r="H142" s="517" t="s">
        <v>1803</v>
      </c>
      <c r="I142" s="517" t="s">
        <v>1840</v>
      </c>
      <c r="J142" s="517" t="s">
        <v>1840</v>
      </c>
      <c r="K142" s="517" t="s">
        <v>1840</v>
      </c>
      <c r="L142" s="517" t="s">
        <v>1840</v>
      </c>
      <c r="M142" s="517" t="s">
        <v>1840</v>
      </c>
    </row>
    <row r="143" spans="1:13" ht="13.5" thickTop="1" x14ac:dyDescent="0.2">
      <c r="A143" s="722">
        <v>0.5</v>
      </c>
      <c r="B143" s="723">
        <v>7</v>
      </c>
      <c r="C143" s="724">
        <v>6</v>
      </c>
      <c r="D143" s="725">
        <v>6</v>
      </c>
      <c r="E143" s="724">
        <v>6</v>
      </c>
      <c r="F143" s="726">
        <v>7</v>
      </c>
      <c r="H143" s="727">
        <f>A143*25.4</f>
        <v>12.7</v>
      </c>
      <c r="I143" s="728">
        <f>B143*0.4535924</f>
        <v>3.1751468000000003</v>
      </c>
      <c r="J143" s="728">
        <f>C143*0.4535924</f>
        <v>2.7215544</v>
      </c>
      <c r="K143" s="728">
        <f>D143*0.4535924</f>
        <v>2.7215544</v>
      </c>
      <c r="L143" s="728">
        <f>E143*0.4535924</f>
        <v>2.7215544</v>
      </c>
      <c r="M143" s="728">
        <f>F143*0.4535924</f>
        <v>3.1751468000000003</v>
      </c>
    </row>
    <row r="144" spans="1:13" x14ac:dyDescent="0.2">
      <c r="A144" s="729">
        <v>0.75</v>
      </c>
      <c r="B144" s="730">
        <v>7</v>
      </c>
      <c r="C144" s="731">
        <v>6</v>
      </c>
      <c r="D144" s="76">
        <v>6</v>
      </c>
      <c r="E144" s="731">
        <v>6</v>
      </c>
      <c r="F144" s="732">
        <v>10</v>
      </c>
      <c r="H144" s="733">
        <f>A144*25.4</f>
        <v>19.049999999999997</v>
      </c>
      <c r="I144" s="734">
        <f t="shared" ref="I144:M147" si="20">B144*0.4535924</f>
        <v>3.1751468000000003</v>
      </c>
      <c r="J144" s="734">
        <f t="shared" si="20"/>
        <v>2.7215544</v>
      </c>
      <c r="K144" s="734">
        <f t="shared" si="20"/>
        <v>2.7215544</v>
      </c>
      <c r="L144" s="734">
        <f t="shared" si="20"/>
        <v>2.7215544</v>
      </c>
      <c r="M144" s="734">
        <f t="shared" si="20"/>
        <v>4.5359239999999996</v>
      </c>
    </row>
    <row r="145" spans="1:13" x14ac:dyDescent="0.2">
      <c r="A145" s="735">
        <v>1</v>
      </c>
      <c r="B145" s="730">
        <v>8.5</v>
      </c>
      <c r="C145" s="731">
        <v>7.5</v>
      </c>
      <c r="D145" s="76">
        <v>7.5</v>
      </c>
      <c r="E145" s="731">
        <v>7.5</v>
      </c>
      <c r="F145" s="732">
        <v>12</v>
      </c>
      <c r="H145" s="733">
        <f>A145*25.4</f>
        <v>25.4</v>
      </c>
      <c r="I145" s="734">
        <f t="shared" si="20"/>
        <v>3.8555353999999999</v>
      </c>
      <c r="J145" s="734">
        <f t="shared" si="20"/>
        <v>3.4019430000000002</v>
      </c>
      <c r="K145" s="734">
        <f t="shared" si="20"/>
        <v>3.4019430000000002</v>
      </c>
      <c r="L145" s="734">
        <f t="shared" si="20"/>
        <v>3.4019430000000002</v>
      </c>
      <c r="M145" s="734">
        <f t="shared" si="20"/>
        <v>5.4431088000000001</v>
      </c>
    </row>
    <row r="146" spans="1:13" x14ac:dyDescent="0.2">
      <c r="A146" s="736">
        <v>1.25</v>
      </c>
      <c r="B146" s="730">
        <v>10</v>
      </c>
      <c r="C146" s="731">
        <v>10</v>
      </c>
      <c r="D146" s="76">
        <v>10</v>
      </c>
      <c r="E146" s="731">
        <v>10</v>
      </c>
      <c r="F146" s="732">
        <v>18</v>
      </c>
      <c r="H146" s="733">
        <f>A146*25.4</f>
        <v>31.75</v>
      </c>
      <c r="I146" s="734">
        <f t="shared" si="20"/>
        <v>4.5359239999999996</v>
      </c>
      <c r="J146" s="734">
        <f t="shared" si="20"/>
        <v>4.5359239999999996</v>
      </c>
      <c r="K146" s="734">
        <f t="shared" si="20"/>
        <v>4.5359239999999996</v>
      </c>
      <c r="L146" s="734">
        <f t="shared" si="20"/>
        <v>4.5359239999999996</v>
      </c>
      <c r="M146" s="734">
        <f t="shared" si="20"/>
        <v>8.1646631999999997</v>
      </c>
    </row>
    <row r="147" spans="1:13" ht="13.5" thickBot="1" x14ac:dyDescent="0.25">
      <c r="A147" s="737">
        <v>1.5</v>
      </c>
      <c r="B147" s="738">
        <v>14</v>
      </c>
      <c r="C147" s="739">
        <v>14</v>
      </c>
      <c r="D147" s="740">
        <v>14</v>
      </c>
      <c r="E147" s="739">
        <v>14</v>
      </c>
      <c r="F147" s="741">
        <v>25</v>
      </c>
      <c r="H147" s="742">
        <f>A147*25.4</f>
        <v>38.099999999999994</v>
      </c>
      <c r="I147" s="734">
        <f t="shared" si="20"/>
        <v>6.3502936000000005</v>
      </c>
      <c r="J147" s="734">
        <f t="shared" si="20"/>
        <v>6.3502936000000005</v>
      </c>
      <c r="K147" s="734">
        <f t="shared" si="20"/>
        <v>6.3502936000000005</v>
      </c>
      <c r="L147" s="734">
        <f t="shared" si="20"/>
        <v>6.3502936000000005</v>
      </c>
      <c r="M147" s="734">
        <f t="shared" si="20"/>
        <v>11.33981</v>
      </c>
    </row>
    <row r="148" spans="1:13" ht="13.5" thickTop="1" x14ac:dyDescent="0.2">
      <c r="A148" s="743">
        <v>2</v>
      </c>
      <c r="B148" s="723">
        <v>24</v>
      </c>
      <c r="C148" s="724">
        <v>22</v>
      </c>
      <c r="D148" s="725">
        <v>23</v>
      </c>
      <c r="E148" s="724">
        <v>21</v>
      </c>
      <c r="F148" s="726">
        <v>39</v>
      </c>
      <c r="H148" s="727">
        <f>A149*25.4</f>
        <v>63.5</v>
      </c>
      <c r="I148" s="728">
        <f>B148*0.4535924</f>
        <v>10.8862176</v>
      </c>
      <c r="J148" s="728">
        <f>C148*0.4535924</f>
        <v>9.9790328000000006</v>
      </c>
      <c r="K148" s="728">
        <f>D148*0.4535924</f>
        <v>10.4326252</v>
      </c>
      <c r="L148" s="728">
        <f>E148*0.4535924</f>
        <v>9.5254404000000008</v>
      </c>
      <c r="M148" s="728">
        <f>F148*0.4535924</f>
        <v>17.6901036</v>
      </c>
    </row>
    <row r="149" spans="1:13" x14ac:dyDescent="0.2">
      <c r="A149" s="736">
        <v>2.5</v>
      </c>
      <c r="B149" s="730">
        <v>36</v>
      </c>
      <c r="C149" s="731">
        <v>36</v>
      </c>
      <c r="D149" s="76">
        <v>36</v>
      </c>
      <c r="E149" s="731">
        <v>29</v>
      </c>
      <c r="F149" s="732">
        <v>56</v>
      </c>
      <c r="H149" s="733">
        <f>A149*25.4</f>
        <v>63.5</v>
      </c>
      <c r="I149" s="734">
        <f t="shared" ref="I149:M151" si="21">B149*0.4535924</f>
        <v>16.329326399999999</v>
      </c>
      <c r="J149" s="734">
        <f t="shared" si="21"/>
        <v>16.329326399999999</v>
      </c>
      <c r="K149" s="734">
        <f t="shared" si="21"/>
        <v>16.329326399999999</v>
      </c>
      <c r="L149" s="734">
        <f t="shared" si="21"/>
        <v>13.154179600000001</v>
      </c>
      <c r="M149" s="734">
        <f t="shared" si="21"/>
        <v>25.401174400000002</v>
      </c>
    </row>
    <row r="150" spans="1:13" x14ac:dyDescent="0.2">
      <c r="A150" s="735">
        <v>3</v>
      </c>
      <c r="B150" s="730">
        <v>48</v>
      </c>
      <c r="C150" s="731">
        <v>48</v>
      </c>
      <c r="D150" s="76">
        <v>48</v>
      </c>
      <c r="E150" s="731">
        <v>38</v>
      </c>
      <c r="F150" s="732">
        <v>86</v>
      </c>
      <c r="H150" s="733">
        <f>A150*25.4</f>
        <v>76.199999999999989</v>
      </c>
      <c r="I150" s="734">
        <f t="shared" si="21"/>
        <v>21.7724352</v>
      </c>
      <c r="J150" s="734">
        <f t="shared" si="21"/>
        <v>21.7724352</v>
      </c>
      <c r="K150" s="734">
        <f t="shared" si="21"/>
        <v>21.7724352</v>
      </c>
      <c r="L150" s="734">
        <f t="shared" si="21"/>
        <v>17.236511199999999</v>
      </c>
      <c r="M150" s="734">
        <f t="shared" si="21"/>
        <v>39.008946399999999</v>
      </c>
    </row>
    <row r="151" spans="1:13" ht="13.5" thickBot="1" x14ac:dyDescent="0.25">
      <c r="A151" s="744">
        <v>4</v>
      </c>
      <c r="B151" s="738">
        <v>69</v>
      </c>
      <c r="C151" s="739">
        <v>73</v>
      </c>
      <c r="D151" s="740">
        <v>73</v>
      </c>
      <c r="E151" s="739">
        <v>75</v>
      </c>
      <c r="F151" s="741">
        <v>133</v>
      </c>
      <c r="H151" s="742">
        <f>A151*25.4</f>
        <v>101.6</v>
      </c>
      <c r="I151" s="734">
        <f t="shared" si="21"/>
        <v>31.297875600000001</v>
      </c>
      <c r="J151" s="734">
        <f t="shared" si="21"/>
        <v>33.112245200000004</v>
      </c>
      <c r="K151" s="734">
        <f t="shared" si="21"/>
        <v>33.112245200000004</v>
      </c>
      <c r="L151" s="734">
        <f t="shared" si="21"/>
        <v>34.01943</v>
      </c>
      <c r="M151" s="734">
        <f t="shared" si="21"/>
        <v>60.327789199999998</v>
      </c>
    </row>
    <row r="152" spans="1:13" ht="13.5" thickTop="1" x14ac:dyDescent="0.2">
      <c r="A152" s="743">
        <v>5</v>
      </c>
      <c r="B152" s="723">
        <v>132</v>
      </c>
      <c r="C152" s="724">
        <v>132</v>
      </c>
      <c r="D152" s="725">
        <v>132</v>
      </c>
      <c r="E152" s="724">
        <v>138</v>
      </c>
      <c r="F152" s="726">
        <v>223</v>
      </c>
      <c r="H152" s="727">
        <f>A153*25.4</f>
        <v>152.39999999999998</v>
      </c>
      <c r="I152" s="728">
        <f>B152*0.4535924</f>
        <v>59.8741968</v>
      </c>
      <c r="J152" s="728">
        <f>C152*0.4535924</f>
        <v>59.8741968</v>
      </c>
      <c r="K152" s="728">
        <f>D152*0.4535924</f>
        <v>59.8741968</v>
      </c>
      <c r="L152" s="728">
        <f>E152*0.4535924</f>
        <v>62.595751200000002</v>
      </c>
      <c r="M152" s="728">
        <f>F152*0.4535924</f>
        <v>101.1511052</v>
      </c>
    </row>
    <row r="153" spans="1:13" x14ac:dyDescent="0.2">
      <c r="A153" s="735">
        <v>6</v>
      </c>
      <c r="B153" s="730">
        <v>164</v>
      </c>
      <c r="C153" s="731">
        <v>164</v>
      </c>
      <c r="D153" s="76">
        <v>164</v>
      </c>
      <c r="E153" s="731">
        <v>170</v>
      </c>
      <c r="F153" s="732">
        <v>345</v>
      </c>
      <c r="H153" s="733">
        <f>A153*25.4</f>
        <v>152.39999999999998</v>
      </c>
      <c r="I153" s="734">
        <f t="shared" ref="I153:M156" si="22">B153*0.4535924</f>
        <v>74.3891536</v>
      </c>
      <c r="J153" s="734">
        <f t="shared" si="22"/>
        <v>74.3891536</v>
      </c>
      <c r="K153" s="734">
        <f t="shared" si="22"/>
        <v>74.3891536</v>
      </c>
      <c r="L153" s="734">
        <f t="shared" si="22"/>
        <v>77.110708000000002</v>
      </c>
      <c r="M153" s="734">
        <f t="shared" si="22"/>
        <v>156.48937800000002</v>
      </c>
    </row>
    <row r="154" spans="1:13" x14ac:dyDescent="0.2">
      <c r="A154" s="735">
        <v>8</v>
      </c>
      <c r="B154" s="730">
        <v>273</v>
      </c>
      <c r="C154" s="731">
        <v>258</v>
      </c>
      <c r="D154" s="76">
        <v>258</v>
      </c>
      <c r="E154" s="731">
        <v>286</v>
      </c>
      <c r="F154" s="732">
        <v>533</v>
      </c>
      <c r="H154" s="733">
        <f>A154*25.4</f>
        <v>203.2</v>
      </c>
      <c r="I154" s="734">
        <f t="shared" si="22"/>
        <v>123.8307252</v>
      </c>
      <c r="J154" s="734">
        <f t="shared" si="22"/>
        <v>117.0268392</v>
      </c>
      <c r="K154" s="734">
        <f t="shared" si="22"/>
        <v>117.0268392</v>
      </c>
      <c r="L154" s="734">
        <f t="shared" si="22"/>
        <v>129.72742640000001</v>
      </c>
      <c r="M154" s="734">
        <f t="shared" si="22"/>
        <v>241.76474920000001</v>
      </c>
    </row>
    <row r="155" spans="1:13" x14ac:dyDescent="0.2">
      <c r="A155" s="735">
        <v>10</v>
      </c>
      <c r="B155" s="730">
        <v>454</v>
      </c>
      <c r="C155" s="731">
        <v>436</v>
      </c>
      <c r="D155" s="76">
        <v>436</v>
      </c>
      <c r="E155" s="731">
        <v>485</v>
      </c>
      <c r="F155" s="732">
        <v>1025</v>
      </c>
      <c r="H155" s="733">
        <f>A155*25.4</f>
        <v>254</v>
      </c>
      <c r="I155" s="734">
        <f t="shared" si="22"/>
        <v>205.93094959999999</v>
      </c>
      <c r="J155" s="734">
        <f t="shared" si="22"/>
        <v>197.76628640000001</v>
      </c>
      <c r="K155" s="734">
        <f t="shared" si="22"/>
        <v>197.76628640000001</v>
      </c>
      <c r="L155" s="734">
        <f t="shared" si="22"/>
        <v>219.99231399999999</v>
      </c>
      <c r="M155" s="734">
        <f t="shared" si="22"/>
        <v>464.93221</v>
      </c>
    </row>
    <row r="156" spans="1:13" ht="13.5" thickBot="1" x14ac:dyDescent="0.25">
      <c r="A156" s="744">
        <v>12</v>
      </c>
      <c r="B156" s="738">
        <v>690</v>
      </c>
      <c r="C156" s="739">
        <v>667</v>
      </c>
      <c r="D156" s="740">
        <v>667</v>
      </c>
      <c r="E156" s="739">
        <v>749</v>
      </c>
      <c r="F156" s="741">
        <v>1464</v>
      </c>
      <c r="H156" s="742">
        <f>A156*25.4</f>
        <v>304.79999999999995</v>
      </c>
      <c r="I156" s="734">
        <f t="shared" si="22"/>
        <v>312.97875600000003</v>
      </c>
      <c r="J156" s="734">
        <f t="shared" si="22"/>
        <v>302.54613080000001</v>
      </c>
      <c r="K156" s="734">
        <f t="shared" si="22"/>
        <v>302.54613080000001</v>
      </c>
      <c r="L156" s="734">
        <f t="shared" si="22"/>
        <v>339.74070760000001</v>
      </c>
      <c r="M156" s="734">
        <f t="shared" si="22"/>
        <v>664.05927359999998</v>
      </c>
    </row>
    <row r="157" spans="1:13" ht="13.5" thickTop="1" x14ac:dyDescent="0.2">
      <c r="A157" s="743">
        <v>14</v>
      </c>
      <c r="B157" s="746"/>
      <c r="C157" s="746"/>
      <c r="D157" s="746"/>
      <c r="E157" s="746"/>
      <c r="F157" s="746"/>
      <c r="H157" s="727">
        <f>A158*25.4</f>
        <v>406.4</v>
      </c>
      <c r="I157" s="746"/>
      <c r="J157" s="746"/>
      <c r="K157" s="746"/>
      <c r="L157" s="746"/>
      <c r="M157" s="746"/>
    </row>
    <row r="158" spans="1:13" x14ac:dyDescent="0.2">
      <c r="A158" s="735">
        <v>16</v>
      </c>
      <c r="B158" s="747"/>
      <c r="C158" s="747"/>
      <c r="D158" s="747"/>
      <c r="E158" s="747"/>
      <c r="F158" s="747"/>
      <c r="H158" s="733">
        <f>A158*25.4</f>
        <v>406.4</v>
      </c>
      <c r="I158" s="747"/>
      <c r="J158" s="747"/>
      <c r="K158" s="747"/>
      <c r="L158" s="747"/>
      <c r="M158" s="747"/>
    </row>
    <row r="159" spans="1:13" x14ac:dyDescent="0.2">
      <c r="A159" s="735">
        <v>18</v>
      </c>
      <c r="B159" s="747"/>
      <c r="C159" s="747"/>
      <c r="D159" s="747"/>
      <c r="E159" s="747"/>
      <c r="F159" s="747"/>
      <c r="H159" s="733">
        <f>A159*25.4</f>
        <v>457.2</v>
      </c>
      <c r="I159" s="747"/>
      <c r="J159" s="747"/>
      <c r="K159" s="747"/>
      <c r="L159" s="747"/>
      <c r="M159" s="747"/>
    </row>
    <row r="160" spans="1:13" x14ac:dyDescent="0.2">
      <c r="A160" s="735">
        <v>20</v>
      </c>
      <c r="B160" s="747"/>
      <c r="C160" s="747"/>
      <c r="D160" s="747"/>
      <c r="E160" s="747"/>
      <c r="F160" s="747"/>
      <c r="H160" s="733">
        <f>A160*25.4</f>
        <v>508</v>
      </c>
      <c r="I160" s="747"/>
      <c r="J160" s="747"/>
      <c r="K160" s="747"/>
      <c r="L160" s="747"/>
      <c r="M160" s="747"/>
    </row>
    <row r="161" spans="1:13" ht="13.5" thickBot="1" x14ac:dyDescent="0.25">
      <c r="A161" s="744">
        <v>24</v>
      </c>
      <c r="B161" s="748"/>
      <c r="C161" s="748"/>
      <c r="D161" s="748"/>
      <c r="E161" s="748"/>
      <c r="F161" s="748"/>
      <c r="H161" s="742">
        <f>A161*25.4</f>
        <v>609.59999999999991</v>
      </c>
      <c r="I161" s="748"/>
      <c r="J161" s="748"/>
      <c r="K161" s="748"/>
      <c r="L161" s="748"/>
      <c r="M161" s="748"/>
    </row>
    <row r="162" spans="1:13" ht="13.5" thickTop="1" x14ac:dyDescent="0.2"/>
    <row r="163" spans="1:13" ht="20.25" x14ac:dyDescent="0.3">
      <c r="D163" s="719"/>
      <c r="E163" s="720" t="s">
        <v>1917</v>
      </c>
    </row>
    <row r="164" spans="1:13" ht="16.5" thickBot="1" x14ac:dyDescent="0.3">
      <c r="C164" s="35" t="s">
        <v>1805</v>
      </c>
      <c r="J164" s="35" t="s">
        <v>1806</v>
      </c>
    </row>
    <row r="165" spans="1:13" ht="13.5" thickTop="1" x14ac:dyDescent="0.2">
      <c r="A165" s="502" t="s">
        <v>1867</v>
      </c>
      <c r="B165" s="721" t="s">
        <v>1918</v>
      </c>
      <c r="C165" s="721" t="s">
        <v>1918</v>
      </c>
      <c r="D165" s="721" t="s">
        <v>1918</v>
      </c>
      <c r="E165" s="721" t="s">
        <v>1918</v>
      </c>
      <c r="F165" s="721" t="s">
        <v>1918</v>
      </c>
      <c r="G165" s="464"/>
      <c r="H165" s="502" t="s">
        <v>1867</v>
      </c>
      <c r="I165" s="721" t="s">
        <v>1918</v>
      </c>
      <c r="J165" s="721" t="s">
        <v>1918</v>
      </c>
      <c r="K165" s="721" t="s">
        <v>1918</v>
      </c>
      <c r="L165" s="721" t="s">
        <v>1918</v>
      </c>
      <c r="M165" s="721" t="s">
        <v>1918</v>
      </c>
    </row>
    <row r="166" spans="1:13" x14ac:dyDescent="0.2">
      <c r="A166" s="510" t="s">
        <v>1556</v>
      </c>
      <c r="B166" s="513" t="s">
        <v>1900</v>
      </c>
      <c r="C166" s="513" t="s">
        <v>1901</v>
      </c>
      <c r="D166" s="513" t="s">
        <v>1902</v>
      </c>
      <c r="E166" s="513" t="s">
        <v>1903</v>
      </c>
      <c r="F166" s="513" t="s">
        <v>1904</v>
      </c>
      <c r="G166" s="464"/>
      <c r="H166" s="510" t="s">
        <v>1556</v>
      </c>
      <c r="I166" s="513" t="s">
        <v>1900</v>
      </c>
      <c r="J166" s="513" t="s">
        <v>1901</v>
      </c>
      <c r="K166" s="513" t="s">
        <v>1902</v>
      </c>
      <c r="L166" s="513" t="s">
        <v>1903</v>
      </c>
      <c r="M166" s="513" t="s">
        <v>1904</v>
      </c>
    </row>
    <row r="167" spans="1:13" x14ac:dyDescent="0.2">
      <c r="A167" s="510" t="s">
        <v>894</v>
      </c>
      <c r="B167" s="513" t="s">
        <v>1905</v>
      </c>
      <c r="C167" s="513" t="s">
        <v>1905</v>
      </c>
      <c r="D167" s="513" t="s">
        <v>1905</v>
      </c>
      <c r="E167" s="513" t="s">
        <v>1905</v>
      </c>
      <c r="F167" s="513" t="s">
        <v>1905</v>
      </c>
      <c r="G167" s="464"/>
      <c r="H167" s="510" t="s">
        <v>894</v>
      </c>
      <c r="I167" s="513" t="s">
        <v>1905</v>
      </c>
      <c r="J167" s="513" t="s">
        <v>1905</v>
      </c>
      <c r="K167" s="513" t="s">
        <v>1905</v>
      </c>
      <c r="L167" s="513" t="s">
        <v>1905</v>
      </c>
      <c r="M167" s="513" t="s">
        <v>1905</v>
      </c>
    </row>
    <row r="168" spans="1:13" ht="13.5" thickBot="1" x14ac:dyDescent="0.25">
      <c r="A168" s="517" t="s">
        <v>1802</v>
      </c>
      <c r="B168" s="718" t="s">
        <v>1906</v>
      </c>
      <c r="C168" s="718" t="s">
        <v>1906</v>
      </c>
      <c r="D168" s="718" t="s">
        <v>1906</v>
      </c>
      <c r="E168" s="718" t="s">
        <v>1906</v>
      </c>
      <c r="F168" s="718" t="s">
        <v>1906</v>
      </c>
      <c r="G168" s="464"/>
      <c r="H168" s="517" t="s">
        <v>1803</v>
      </c>
      <c r="I168" s="517" t="s">
        <v>1840</v>
      </c>
      <c r="J168" s="517" t="s">
        <v>1840</v>
      </c>
      <c r="K168" s="517" t="s">
        <v>1840</v>
      </c>
      <c r="L168" s="517" t="s">
        <v>1840</v>
      </c>
      <c r="M168" s="517" t="s">
        <v>1840</v>
      </c>
    </row>
    <row r="169" spans="1:13" ht="13.5" thickTop="1" x14ac:dyDescent="0.2">
      <c r="A169" s="722">
        <v>0.5</v>
      </c>
      <c r="B169" s="723">
        <v>8</v>
      </c>
      <c r="C169" s="724">
        <v>7</v>
      </c>
      <c r="D169" s="725">
        <v>7</v>
      </c>
      <c r="E169" s="724">
        <v>7</v>
      </c>
      <c r="F169" s="726">
        <v>7</v>
      </c>
      <c r="H169" s="727">
        <f>A169*25.4</f>
        <v>12.7</v>
      </c>
      <c r="I169" s="728">
        <f>B169*0.4535924</f>
        <v>3.6287392000000001</v>
      </c>
      <c r="J169" s="728">
        <f>C169*0.4535924</f>
        <v>3.1751468000000003</v>
      </c>
      <c r="K169" s="728">
        <f>D169*0.4535924</f>
        <v>3.1751468000000003</v>
      </c>
      <c r="L169" s="728">
        <f>E169*0.4535924</f>
        <v>3.1751468000000003</v>
      </c>
      <c r="M169" s="728">
        <f>F169*0.4535924</f>
        <v>3.1751468000000003</v>
      </c>
    </row>
    <row r="170" spans="1:13" x14ac:dyDescent="0.2">
      <c r="A170" s="729">
        <v>0.75</v>
      </c>
      <c r="B170" s="730">
        <v>9</v>
      </c>
      <c r="C170" s="731">
        <v>9</v>
      </c>
      <c r="D170" s="76">
        <v>9</v>
      </c>
      <c r="E170" s="731">
        <v>8</v>
      </c>
      <c r="F170" s="732">
        <v>10</v>
      </c>
      <c r="H170" s="733">
        <f>A170*25.4</f>
        <v>19.049999999999997</v>
      </c>
      <c r="I170" s="734">
        <f t="shared" ref="I170:M173" si="23">B170*0.4535924</f>
        <v>4.0823315999999998</v>
      </c>
      <c r="J170" s="734">
        <f t="shared" si="23"/>
        <v>4.0823315999999998</v>
      </c>
      <c r="K170" s="734">
        <f t="shared" si="23"/>
        <v>4.0823315999999998</v>
      </c>
      <c r="L170" s="734">
        <f t="shared" si="23"/>
        <v>3.6287392000000001</v>
      </c>
      <c r="M170" s="734">
        <f t="shared" si="23"/>
        <v>4.5359239999999996</v>
      </c>
    </row>
    <row r="171" spans="1:13" x14ac:dyDescent="0.2">
      <c r="A171" s="735">
        <v>1</v>
      </c>
      <c r="B171" s="730">
        <v>13</v>
      </c>
      <c r="C171" s="731">
        <v>12</v>
      </c>
      <c r="D171" s="76">
        <v>12</v>
      </c>
      <c r="E171" s="731">
        <v>12</v>
      </c>
      <c r="F171" s="732">
        <v>12</v>
      </c>
      <c r="H171" s="733">
        <f>A171*25.4</f>
        <v>25.4</v>
      </c>
      <c r="I171" s="734">
        <f t="shared" si="23"/>
        <v>5.8967011999999999</v>
      </c>
      <c r="J171" s="734">
        <f t="shared" si="23"/>
        <v>5.4431088000000001</v>
      </c>
      <c r="K171" s="734">
        <f t="shared" si="23"/>
        <v>5.4431088000000001</v>
      </c>
      <c r="L171" s="734">
        <f t="shared" si="23"/>
        <v>5.4431088000000001</v>
      </c>
      <c r="M171" s="734">
        <f t="shared" si="23"/>
        <v>5.4431088000000001</v>
      </c>
    </row>
    <row r="172" spans="1:13" x14ac:dyDescent="0.2">
      <c r="A172" s="736">
        <v>1.25</v>
      </c>
      <c r="B172" s="730">
        <v>20</v>
      </c>
      <c r="C172" s="731">
        <v>18</v>
      </c>
      <c r="D172" s="76">
        <v>18</v>
      </c>
      <c r="E172" s="731">
        <v>17</v>
      </c>
      <c r="F172" s="732">
        <v>18</v>
      </c>
      <c r="H172" s="733">
        <f>A172*25.4</f>
        <v>31.75</v>
      </c>
      <c r="I172" s="734">
        <f t="shared" si="23"/>
        <v>9.0718479999999992</v>
      </c>
      <c r="J172" s="734">
        <f t="shared" si="23"/>
        <v>8.1646631999999997</v>
      </c>
      <c r="K172" s="734">
        <f t="shared" si="23"/>
        <v>8.1646631999999997</v>
      </c>
      <c r="L172" s="734">
        <f t="shared" si="23"/>
        <v>7.7110707999999999</v>
      </c>
      <c r="M172" s="734">
        <f t="shared" si="23"/>
        <v>8.1646631999999997</v>
      </c>
    </row>
    <row r="173" spans="1:13" ht="13.5" thickBot="1" x14ac:dyDescent="0.25">
      <c r="A173" s="737">
        <v>1.5</v>
      </c>
      <c r="B173" s="738">
        <v>28</v>
      </c>
      <c r="C173" s="739">
        <v>25</v>
      </c>
      <c r="D173" s="740">
        <v>25</v>
      </c>
      <c r="E173" s="739">
        <v>24</v>
      </c>
      <c r="F173" s="741">
        <v>25</v>
      </c>
      <c r="H173" s="742">
        <f>A173*25.4</f>
        <v>38.099999999999994</v>
      </c>
      <c r="I173" s="734">
        <f t="shared" si="23"/>
        <v>12.700587200000001</v>
      </c>
      <c r="J173" s="734">
        <f t="shared" si="23"/>
        <v>11.33981</v>
      </c>
      <c r="K173" s="734">
        <f t="shared" si="23"/>
        <v>11.33981</v>
      </c>
      <c r="L173" s="734">
        <f t="shared" si="23"/>
        <v>10.8862176</v>
      </c>
      <c r="M173" s="734">
        <f t="shared" si="23"/>
        <v>11.33981</v>
      </c>
    </row>
    <row r="174" spans="1:13" ht="13.5" thickTop="1" x14ac:dyDescent="0.2">
      <c r="A174" s="743">
        <v>2</v>
      </c>
      <c r="B174" s="723">
        <v>42</v>
      </c>
      <c r="C174" s="724">
        <v>38</v>
      </c>
      <c r="D174" s="725">
        <v>38</v>
      </c>
      <c r="E174" s="724">
        <v>37</v>
      </c>
      <c r="F174" s="726">
        <v>39</v>
      </c>
      <c r="H174" s="727">
        <f>A175*25.4</f>
        <v>63.5</v>
      </c>
      <c r="I174" s="728">
        <f>B174*0.4535924</f>
        <v>19.050880800000002</v>
      </c>
      <c r="J174" s="728">
        <f>C174*0.4535924</f>
        <v>17.236511199999999</v>
      </c>
      <c r="K174" s="728">
        <f>D174*0.4535924</f>
        <v>17.236511199999999</v>
      </c>
      <c r="L174" s="728">
        <f>E174*0.4535924</f>
        <v>16.782918800000001</v>
      </c>
      <c r="M174" s="728">
        <f>F174*0.4535924</f>
        <v>17.6901036</v>
      </c>
    </row>
    <row r="175" spans="1:13" x14ac:dyDescent="0.2">
      <c r="A175" s="736">
        <v>2.5</v>
      </c>
      <c r="B175" s="730">
        <v>52</v>
      </c>
      <c r="C175" s="731">
        <v>55</v>
      </c>
      <c r="D175" s="76">
        <v>55</v>
      </c>
      <c r="E175" s="731">
        <v>53</v>
      </c>
      <c r="F175" s="732">
        <v>56</v>
      </c>
      <c r="H175" s="733">
        <f>A175*25.4</f>
        <v>63.5</v>
      </c>
      <c r="I175" s="734">
        <f t="shared" ref="I175:M177" si="24">B175*0.4535924</f>
        <v>23.586804799999999</v>
      </c>
      <c r="J175" s="734">
        <f t="shared" si="24"/>
        <v>24.947582000000001</v>
      </c>
      <c r="K175" s="734">
        <f t="shared" si="24"/>
        <v>24.947582000000001</v>
      </c>
      <c r="L175" s="734">
        <f t="shared" si="24"/>
        <v>24.040397200000001</v>
      </c>
      <c r="M175" s="734">
        <f t="shared" si="24"/>
        <v>25.401174400000002</v>
      </c>
    </row>
    <row r="176" spans="1:13" x14ac:dyDescent="0.2">
      <c r="A176" s="735">
        <v>3</v>
      </c>
      <c r="B176" s="730">
        <v>94</v>
      </c>
      <c r="C176" s="731">
        <v>83</v>
      </c>
      <c r="D176" s="76">
        <v>83</v>
      </c>
      <c r="E176" s="731">
        <v>80</v>
      </c>
      <c r="F176" s="732">
        <v>86</v>
      </c>
      <c r="H176" s="733">
        <f>A176*25.4</f>
        <v>76.199999999999989</v>
      </c>
      <c r="I176" s="734">
        <f t="shared" si="24"/>
        <v>42.637685599999998</v>
      </c>
      <c r="J176" s="734">
        <f t="shared" si="24"/>
        <v>37.648169199999998</v>
      </c>
      <c r="K176" s="734">
        <f t="shared" si="24"/>
        <v>37.648169199999998</v>
      </c>
      <c r="L176" s="734">
        <f t="shared" si="24"/>
        <v>36.287391999999997</v>
      </c>
      <c r="M176" s="734">
        <f t="shared" si="24"/>
        <v>39.008946399999999</v>
      </c>
    </row>
    <row r="177" spans="1:13" ht="13.5" thickBot="1" x14ac:dyDescent="0.25">
      <c r="A177" s="744">
        <v>4</v>
      </c>
      <c r="B177" s="738">
        <v>146</v>
      </c>
      <c r="C177" s="739">
        <v>127</v>
      </c>
      <c r="D177" s="740">
        <v>127</v>
      </c>
      <c r="E177" s="739">
        <v>122</v>
      </c>
      <c r="F177" s="741">
        <v>133</v>
      </c>
      <c r="H177" s="742">
        <f>A177*25.4</f>
        <v>101.6</v>
      </c>
      <c r="I177" s="734">
        <f t="shared" si="24"/>
        <v>66.224490400000008</v>
      </c>
      <c r="J177" s="734">
        <f t="shared" si="24"/>
        <v>57.606234800000003</v>
      </c>
      <c r="K177" s="734">
        <f t="shared" si="24"/>
        <v>57.606234800000003</v>
      </c>
      <c r="L177" s="734">
        <f t="shared" si="24"/>
        <v>55.338272799999999</v>
      </c>
      <c r="M177" s="734">
        <f t="shared" si="24"/>
        <v>60.327789199999998</v>
      </c>
    </row>
    <row r="178" spans="1:13" ht="13.5" thickTop="1" x14ac:dyDescent="0.2">
      <c r="A178" s="743">
        <v>5</v>
      </c>
      <c r="B178" s="723">
        <v>244</v>
      </c>
      <c r="C178" s="724">
        <v>210</v>
      </c>
      <c r="D178" s="725">
        <v>210</v>
      </c>
      <c r="E178" s="724">
        <v>204</v>
      </c>
      <c r="F178" s="726">
        <v>223</v>
      </c>
      <c r="H178" s="727">
        <f>A179*25.4</f>
        <v>152.39999999999998</v>
      </c>
      <c r="I178" s="728">
        <f>B178*0.4535924</f>
        <v>110.6765456</v>
      </c>
      <c r="J178" s="728">
        <f>C178*0.4535924</f>
        <v>95.254404000000008</v>
      </c>
      <c r="K178" s="728">
        <f>D178*0.4535924</f>
        <v>95.254404000000008</v>
      </c>
      <c r="L178" s="728">
        <f>E178*0.4535924</f>
        <v>92.532849600000006</v>
      </c>
      <c r="M178" s="728">
        <f>F178*0.4535924</f>
        <v>101.1511052</v>
      </c>
    </row>
    <row r="179" spans="1:13" x14ac:dyDescent="0.2">
      <c r="A179" s="735">
        <v>6</v>
      </c>
      <c r="B179" s="730">
        <v>378</v>
      </c>
      <c r="C179" s="731">
        <v>323</v>
      </c>
      <c r="D179" s="76">
        <v>323</v>
      </c>
      <c r="E179" s="731">
        <v>314</v>
      </c>
      <c r="F179" s="732">
        <v>345</v>
      </c>
      <c r="H179" s="733">
        <f>A179*25.4</f>
        <v>152.39999999999998</v>
      </c>
      <c r="I179" s="734">
        <f t="shared" ref="I179:M182" si="25">B179*0.4535924</f>
        <v>171.4579272</v>
      </c>
      <c r="J179" s="734">
        <f t="shared" si="25"/>
        <v>146.51034519999999</v>
      </c>
      <c r="K179" s="734">
        <f t="shared" si="25"/>
        <v>146.51034519999999</v>
      </c>
      <c r="L179" s="734">
        <f t="shared" si="25"/>
        <v>142.42801360000001</v>
      </c>
      <c r="M179" s="734">
        <f t="shared" si="25"/>
        <v>156.48937800000002</v>
      </c>
    </row>
    <row r="180" spans="1:13" x14ac:dyDescent="0.2">
      <c r="A180" s="735">
        <v>8</v>
      </c>
      <c r="B180" s="730">
        <v>576</v>
      </c>
      <c r="C180" s="731">
        <v>485</v>
      </c>
      <c r="D180" s="76">
        <v>485</v>
      </c>
      <c r="E180" s="731">
        <v>471</v>
      </c>
      <c r="F180" s="732">
        <v>533</v>
      </c>
      <c r="H180" s="733">
        <f>A180*25.4</f>
        <v>203.2</v>
      </c>
      <c r="I180" s="734">
        <f t="shared" si="25"/>
        <v>261.26922239999999</v>
      </c>
      <c r="J180" s="734">
        <f t="shared" si="25"/>
        <v>219.99231399999999</v>
      </c>
      <c r="K180" s="734">
        <f t="shared" si="25"/>
        <v>219.99231399999999</v>
      </c>
      <c r="L180" s="734">
        <f t="shared" si="25"/>
        <v>213.64202040000001</v>
      </c>
      <c r="M180" s="734">
        <f t="shared" si="25"/>
        <v>241.76474920000001</v>
      </c>
    </row>
    <row r="181" spans="1:13" x14ac:dyDescent="0.2">
      <c r="A181" s="735">
        <v>10</v>
      </c>
      <c r="B181" s="730">
        <v>1068</v>
      </c>
      <c r="C181" s="731">
        <v>925</v>
      </c>
      <c r="D181" s="76">
        <v>925</v>
      </c>
      <c r="E181" s="731">
        <v>897</v>
      </c>
      <c r="F181" s="732">
        <v>1025</v>
      </c>
      <c r="H181" s="733">
        <f>A181*25.4</f>
        <v>254</v>
      </c>
      <c r="I181" s="734">
        <f t="shared" si="25"/>
        <v>484.4366832</v>
      </c>
      <c r="J181" s="734">
        <f t="shared" si="25"/>
        <v>419.57297</v>
      </c>
      <c r="K181" s="734">
        <f t="shared" si="25"/>
        <v>419.57297</v>
      </c>
      <c r="L181" s="734">
        <f t="shared" si="25"/>
        <v>406.87238280000003</v>
      </c>
      <c r="M181" s="734">
        <f t="shared" si="25"/>
        <v>464.93221</v>
      </c>
    </row>
    <row r="182" spans="1:13" ht="13.5" thickBot="1" x14ac:dyDescent="0.25">
      <c r="A182" s="744">
        <v>12</v>
      </c>
      <c r="B182" s="738">
        <v>1608</v>
      </c>
      <c r="C182" s="739">
        <v>1300</v>
      </c>
      <c r="D182" s="740">
        <v>1300</v>
      </c>
      <c r="E182" s="739">
        <v>1262</v>
      </c>
      <c r="F182" s="741">
        <v>1464</v>
      </c>
      <c r="H182" s="742">
        <f>A182*25.4</f>
        <v>304.79999999999995</v>
      </c>
      <c r="I182" s="734">
        <f t="shared" si="25"/>
        <v>729.37657920000004</v>
      </c>
      <c r="J182" s="734">
        <f t="shared" si="25"/>
        <v>589.67012</v>
      </c>
      <c r="K182" s="734">
        <f t="shared" si="25"/>
        <v>589.67012</v>
      </c>
      <c r="L182" s="734">
        <f t="shared" si="25"/>
        <v>572.4336088</v>
      </c>
      <c r="M182" s="734">
        <f t="shared" si="25"/>
        <v>664.05927359999998</v>
      </c>
    </row>
    <row r="183" spans="1:13" ht="13.5" thickTop="1" x14ac:dyDescent="0.2">
      <c r="A183" s="743">
        <v>14</v>
      </c>
      <c r="B183" s="746"/>
      <c r="C183" s="746"/>
      <c r="D183" s="746"/>
      <c r="E183" s="746"/>
      <c r="F183" s="746"/>
      <c r="H183" s="727">
        <f>A184*25.4</f>
        <v>406.4</v>
      </c>
      <c r="I183" s="746"/>
      <c r="J183" s="746"/>
      <c r="K183" s="746"/>
      <c r="L183" s="746"/>
      <c r="M183" s="746"/>
    </row>
    <row r="184" spans="1:13" x14ac:dyDescent="0.2">
      <c r="A184" s="735">
        <v>16</v>
      </c>
      <c r="B184" s="747"/>
      <c r="C184" s="747"/>
      <c r="D184" s="747"/>
      <c r="E184" s="747"/>
      <c r="F184" s="747"/>
      <c r="H184" s="733">
        <f>A184*25.4</f>
        <v>406.4</v>
      </c>
      <c r="I184" s="747"/>
      <c r="J184" s="747"/>
      <c r="K184" s="747"/>
      <c r="L184" s="747"/>
      <c r="M184" s="747"/>
    </row>
    <row r="185" spans="1:13" x14ac:dyDescent="0.2">
      <c r="A185" s="735">
        <v>18</v>
      </c>
      <c r="B185" s="747"/>
      <c r="C185" s="747"/>
      <c r="D185" s="747"/>
      <c r="E185" s="747"/>
      <c r="F185" s="747"/>
      <c r="H185" s="733">
        <f>A185*25.4</f>
        <v>457.2</v>
      </c>
      <c r="I185" s="747"/>
      <c r="J185" s="747"/>
      <c r="K185" s="747"/>
      <c r="L185" s="747"/>
      <c r="M185" s="747"/>
    </row>
    <row r="186" spans="1:13" x14ac:dyDescent="0.2">
      <c r="A186" s="735">
        <v>20</v>
      </c>
      <c r="B186" s="747"/>
      <c r="C186" s="747"/>
      <c r="D186" s="747"/>
      <c r="E186" s="747"/>
      <c r="F186" s="747"/>
      <c r="H186" s="733">
        <f>A186*25.4</f>
        <v>508</v>
      </c>
      <c r="I186" s="747"/>
      <c r="J186" s="747"/>
      <c r="K186" s="747"/>
      <c r="L186" s="747"/>
      <c r="M186" s="747"/>
    </row>
    <row r="187" spans="1:13" ht="13.5" thickBot="1" x14ac:dyDescent="0.25">
      <c r="A187" s="744">
        <v>24</v>
      </c>
      <c r="B187" s="748"/>
      <c r="C187" s="748"/>
      <c r="D187" s="748"/>
      <c r="E187" s="748"/>
      <c r="F187" s="748"/>
      <c r="H187" s="742">
        <f>A187*25.4</f>
        <v>609.59999999999991</v>
      </c>
      <c r="I187" s="748"/>
      <c r="J187" s="748"/>
      <c r="K187" s="748"/>
      <c r="L187" s="748"/>
      <c r="M187" s="748"/>
    </row>
    <row r="188" spans="1:13" ht="13.5" thickTop="1" x14ac:dyDescent="0.2"/>
  </sheetData>
  <sheetProtection password="CDD2" sheet="1" objects="1" scenarios="1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E25"/>
  <sheetViews>
    <sheetView zoomScale="69" workbookViewId="0">
      <selection sqref="A1:AE1"/>
    </sheetView>
  </sheetViews>
  <sheetFormatPr defaultRowHeight="12.75" x14ac:dyDescent="0.2"/>
  <cols>
    <col min="1" max="1" width="6.5703125" customWidth="1"/>
    <col min="2" max="2" width="7.28515625" customWidth="1"/>
    <col min="3" max="3" width="6.42578125" customWidth="1"/>
    <col min="4" max="4" width="7.28515625" customWidth="1"/>
    <col min="5" max="6" width="6.42578125" customWidth="1"/>
    <col min="7" max="7" width="6.85546875" customWidth="1"/>
    <col min="8" max="8" width="5.7109375" customWidth="1"/>
    <col min="9" max="10" width="7.28515625" customWidth="1"/>
    <col min="11" max="12" width="6.85546875" customWidth="1"/>
    <col min="13" max="13" width="7.28515625" customWidth="1"/>
    <col min="14" max="15" width="3.85546875" customWidth="1"/>
    <col min="16" max="16" width="6.85546875" customWidth="1"/>
    <col min="17" max="17" width="7" customWidth="1"/>
    <col min="18" max="18" width="3.85546875" customWidth="1"/>
    <col min="19" max="19" width="6.85546875" customWidth="1"/>
    <col min="20" max="20" width="6.5703125" customWidth="1"/>
    <col min="21" max="22" width="6.85546875" customWidth="1"/>
    <col min="23" max="23" width="8.7109375" customWidth="1"/>
    <col min="24" max="24" width="7.140625" customWidth="1"/>
    <col min="25" max="25" width="8.140625" customWidth="1"/>
    <col min="26" max="26" width="6.85546875" customWidth="1"/>
    <col min="27" max="27" width="3.85546875" customWidth="1"/>
    <col min="28" max="28" width="6.140625" customWidth="1"/>
    <col min="29" max="29" width="4.5703125" customWidth="1"/>
    <col min="30" max="30" width="6.140625" customWidth="1"/>
    <col min="31" max="31" width="6.85546875" customWidth="1"/>
  </cols>
  <sheetData>
    <row r="1" spans="1:31" ht="25.5" customHeight="1" thickTop="1" thickBot="1" x14ac:dyDescent="0.25">
      <c r="A1" s="1353" t="s">
        <v>809</v>
      </c>
      <c r="B1" s="1354"/>
      <c r="C1" s="1354"/>
      <c r="D1" s="1354"/>
      <c r="E1" s="1354"/>
      <c r="F1" s="1354"/>
      <c r="G1" s="1354"/>
      <c r="H1" s="1354"/>
      <c r="I1" s="1354"/>
      <c r="J1" s="1354"/>
      <c r="K1" s="1354"/>
      <c r="L1" s="1354"/>
      <c r="M1" s="1354"/>
      <c r="N1" s="1354"/>
      <c r="O1" s="1354"/>
      <c r="P1" s="1354"/>
      <c r="Q1" s="1354"/>
      <c r="R1" s="1354"/>
      <c r="S1" s="1354"/>
      <c r="T1" s="1354"/>
      <c r="U1" s="1354"/>
      <c r="V1" s="1354"/>
      <c r="W1" s="1354"/>
      <c r="X1" s="1354"/>
      <c r="Y1" s="1354"/>
      <c r="Z1" s="1354"/>
      <c r="AA1" s="1354"/>
      <c r="AB1" s="1354"/>
      <c r="AC1" s="1354"/>
      <c r="AD1" s="1354"/>
      <c r="AE1" s="1355"/>
    </row>
    <row r="2" spans="1:31" ht="221.25" customHeight="1" thickTop="1" thickBot="1" x14ac:dyDescent="0.25">
      <c r="A2" s="1313"/>
      <c r="B2" s="1314"/>
      <c r="C2" s="1314"/>
      <c r="D2" s="1314"/>
      <c r="E2" s="1314"/>
      <c r="F2" s="1314"/>
      <c r="G2" s="1314"/>
      <c r="H2" s="1314"/>
      <c r="I2" s="1314"/>
      <c r="J2" s="1314"/>
      <c r="K2" s="1314"/>
      <c r="L2" s="1314"/>
      <c r="M2" s="1314"/>
      <c r="N2" s="1314"/>
      <c r="O2" s="1314"/>
      <c r="P2" s="1314"/>
      <c r="Q2" s="1314"/>
      <c r="R2" s="1314"/>
      <c r="S2" s="1314"/>
      <c r="T2" s="1314"/>
      <c r="U2" s="1314"/>
      <c r="V2" s="1314"/>
      <c r="W2" s="1314"/>
      <c r="X2" s="1314"/>
      <c r="Y2" s="1314"/>
      <c r="Z2" s="1314"/>
      <c r="AA2" s="1314"/>
      <c r="AB2" s="1314"/>
      <c r="AE2" s="468"/>
    </row>
    <row r="3" spans="1:31" ht="28.5" customHeight="1" thickBot="1" x14ac:dyDescent="0.25">
      <c r="A3" s="1315" t="s">
        <v>753</v>
      </c>
      <c r="B3" s="1315" t="s">
        <v>754</v>
      </c>
      <c r="C3" s="1315" t="s">
        <v>755</v>
      </c>
      <c r="D3" s="1315" t="s">
        <v>756</v>
      </c>
      <c r="E3" s="1315" t="s">
        <v>757</v>
      </c>
      <c r="F3" s="1315" t="s">
        <v>758</v>
      </c>
      <c r="G3" s="1315" t="s">
        <v>759</v>
      </c>
      <c r="H3" s="1315" t="s">
        <v>760</v>
      </c>
      <c r="I3" s="1315" t="s">
        <v>761</v>
      </c>
      <c r="J3" s="1315" t="s">
        <v>762</v>
      </c>
      <c r="K3" s="1315" t="s">
        <v>763</v>
      </c>
      <c r="L3" s="1333" t="s">
        <v>764</v>
      </c>
      <c r="M3" s="1333"/>
      <c r="N3" s="1333"/>
      <c r="O3" s="1315" t="s">
        <v>765</v>
      </c>
      <c r="P3" s="1333" t="s">
        <v>766</v>
      </c>
      <c r="Q3" s="1333"/>
      <c r="R3" s="1333"/>
      <c r="S3" s="1336" t="s">
        <v>802</v>
      </c>
      <c r="T3" s="1336" t="s">
        <v>768</v>
      </c>
      <c r="U3" s="1335" t="s">
        <v>769</v>
      </c>
      <c r="V3" s="1335"/>
      <c r="W3" s="1335"/>
      <c r="X3" s="1335"/>
      <c r="Y3" s="1335"/>
      <c r="Z3" s="1335"/>
      <c r="AA3" s="1335"/>
      <c r="AB3" s="1315" t="s">
        <v>753</v>
      </c>
      <c r="AC3" s="1317" t="s">
        <v>770</v>
      </c>
      <c r="AD3" s="1320" t="s">
        <v>771</v>
      </c>
      <c r="AE3" s="1321"/>
    </row>
    <row r="4" spans="1:31" ht="45" customHeight="1" thickBot="1" x14ac:dyDescent="0.25">
      <c r="A4" s="1316"/>
      <c r="B4" s="1316"/>
      <c r="C4" s="1316"/>
      <c r="D4" s="1316"/>
      <c r="E4" s="1316"/>
      <c r="F4" s="1316"/>
      <c r="G4" s="1316"/>
      <c r="H4" s="1316"/>
      <c r="I4" s="1316"/>
      <c r="J4" s="1316"/>
      <c r="K4" s="1316"/>
      <c r="L4" s="1334"/>
      <c r="M4" s="1334"/>
      <c r="N4" s="1334"/>
      <c r="O4" s="1316"/>
      <c r="P4" s="1334"/>
      <c r="Q4" s="1334"/>
      <c r="R4" s="1334"/>
      <c r="S4" s="1337"/>
      <c r="T4" s="1337"/>
      <c r="U4" s="1228" t="s">
        <v>772</v>
      </c>
      <c r="V4" s="1228" t="s">
        <v>773</v>
      </c>
      <c r="W4" s="1228" t="s">
        <v>774</v>
      </c>
      <c r="X4" s="1228" t="s">
        <v>775</v>
      </c>
      <c r="Y4" s="1228" t="s">
        <v>776</v>
      </c>
      <c r="Z4" s="1228" t="s">
        <v>777</v>
      </c>
      <c r="AA4" s="1228" t="s">
        <v>810</v>
      </c>
      <c r="AB4" s="1316"/>
      <c r="AC4" s="1318"/>
      <c r="AD4" s="1322" t="s">
        <v>779</v>
      </c>
      <c r="AE4" s="1322" t="s">
        <v>780</v>
      </c>
    </row>
    <row r="5" spans="1:31" ht="13.5" thickBot="1" x14ac:dyDescent="0.25">
      <c r="A5" s="1254"/>
      <c r="B5" s="1254"/>
      <c r="C5" s="1255" t="s">
        <v>1872</v>
      </c>
      <c r="D5" s="1255" t="s">
        <v>1873</v>
      </c>
      <c r="E5" s="1255" t="s">
        <v>1779</v>
      </c>
      <c r="F5" s="1255" t="s">
        <v>1769</v>
      </c>
      <c r="G5" s="1255" t="s">
        <v>1876</v>
      </c>
      <c r="H5" s="1255" t="s">
        <v>781</v>
      </c>
      <c r="I5" s="1255" t="s">
        <v>1877</v>
      </c>
      <c r="J5" s="1255" t="s">
        <v>1895</v>
      </c>
      <c r="K5" s="1255" t="s">
        <v>782</v>
      </c>
      <c r="L5" s="1255" t="s">
        <v>1874</v>
      </c>
      <c r="M5" s="1255" t="s">
        <v>783</v>
      </c>
      <c r="N5" s="1255" t="s">
        <v>1894</v>
      </c>
      <c r="O5" s="1255" t="s">
        <v>784</v>
      </c>
      <c r="P5" s="1255" t="s">
        <v>1921</v>
      </c>
      <c r="Q5" s="1255" t="s">
        <v>785</v>
      </c>
      <c r="R5" s="1255" t="s">
        <v>786</v>
      </c>
      <c r="S5" s="1255" t="s">
        <v>658</v>
      </c>
      <c r="T5" s="1255" t="s">
        <v>787</v>
      </c>
      <c r="U5" s="1255" t="s">
        <v>788</v>
      </c>
      <c r="V5" s="1255" t="s">
        <v>1768</v>
      </c>
      <c r="W5" s="1255" t="s">
        <v>1875</v>
      </c>
      <c r="X5" s="1255" t="s">
        <v>789</v>
      </c>
      <c r="Y5" s="1255" t="s">
        <v>790</v>
      </c>
      <c r="Z5" s="1255" t="s">
        <v>791</v>
      </c>
      <c r="AA5" s="1255" t="s">
        <v>792</v>
      </c>
      <c r="AB5" s="1254"/>
      <c r="AC5" s="1319"/>
      <c r="AD5" s="1323"/>
      <c r="AE5" s="1356"/>
    </row>
    <row r="6" spans="1:31" ht="15" customHeight="1" thickBot="1" x14ac:dyDescent="0.25">
      <c r="A6" s="1255" t="s">
        <v>119</v>
      </c>
      <c r="B6" s="1231">
        <v>1.3125</v>
      </c>
      <c r="C6" s="1233">
        <v>3.125</v>
      </c>
      <c r="D6" s="1233">
        <v>5.875</v>
      </c>
      <c r="E6" s="1233" t="s">
        <v>793</v>
      </c>
      <c r="F6" s="1233">
        <v>1.5</v>
      </c>
      <c r="G6" s="1233">
        <v>2</v>
      </c>
      <c r="H6" s="1233">
        <v>1.5</v>
      </c>
      <c r="I6" s="1233">
        <v>4.625</v>
      </c>
      <c r="J6" s="1233">
        <v>4.625</v>
      </c>
      <c r="K6" s="1233">
        <v>4</v>
      </c>
      <c r="L6" s="1233"/>
      <c r="M6" s="1233"/>
      <c r="N6" s="1234"/>
      <c r="O6" s="1234"/>
      <c r="P6" s="1233"/>
      <c r="Q6" s="1233"/>
      <c r="R6" s="1234"/>
      <c r="S6" s="1233"/>
      <c r="T6" s="1233"/>
      <c r="U6" s="1233">
        <v>10</v>
      </c>
      <c r="V6" s="1233"/>
      <c r="W6" s="1232"/>
      <c r="X6" s="1233"/>
      <c r="Y6" s="1234"/>
      <c r="Z6" s="1234"/>
      <c r="AA6" s="1234">
        <v>9</v>
      </c>
      <c r="AB6" s="1255" t="s">
        <v>119</v>
      </c>
      <c r="AC6" s="1235">
        <v>4</v>
      </c>
      <c r="AD6" s="1236">
        <v>0.875</v>
      </c>
      <c r="AE6" s="1236">
        <v>5</v>
      </c>
    </row>
    <row r="7" spans="1:31" ht="15" customHeight="1" thickBot="1" x14ac:dyDescent="0.25">
      <c r="A7" s="1255" t="s">
        <v>794</v>
      </c>
      <c r="B7" s="1237">
        <v>1.875</v>
      </c>
      <c r="C7" s="1238">
        <v>3.5</v>
      </c>
      <c r="D7" s="1238">
        <v>7</v>
      </c>
      <c r="E7" s="1238">
        <v>1.125</v>
      </c>
      <c r="F7" s="1238">
        <v>2.25</v>
      </c>
      <c r="G7" s="1238">
        <v>2.5</v>
      </c>
      <c r="H7" s="1238">
        <v>1.5</v>
      </c>
      <c r="I7" s="1238">
        <v>5.75</v>
      </c>
      <c r="J7" s="1238">
        <v>5.75</v>
      </c>
      <c r="K7" s="1238">
        <v>4.625</v>
      </c>
      <c r="L7" s="1238"/>
      <c r="M7" s="1238"/>
      <c r="N7" s="1239"/>
      <c r="O7" s="1239"/>
      <c r="P7" s="1238"/>
      <c r="Q7" s="1238"/>
      <c r="R7" s="1239"/>
      <c r="S7" s="1238"/>
      <c r="T7" s="1238"/>
      <c r="U7" s="1238">
        <v>12</v>
      </c>
      <c r="V7" s="1238"/>
      <c r="W7" s="157"/>
      <c r="X7" s="1238"/>
      <c r="Y7" s="1239"/>
      <c r="Z7" s="1239"/>
      <c r="AA7" s="1239">
        <v>15</v>
      </c>
      <c r="AB7" s="1255" t="s">
        <v>794</v>
      </c>
      <c r="AC7" s="1240">
        <v>4</v>
      </c>
      <c r="AD7" s="1256">
        <v>1</v>
      </c>
      <c r="AE7" s="1241">
        <v>5.5</v>
      </c>
    </row>
    <row r="8" spans="1:31" ht="15" customHeight="1" thickBot="1" x14ac:dyDescent="0.25">
      <c r="A8" s="1255" t="s">
        <v>189</v>
      </c>
      <c r="B8" s="1242">
        <v>2.375</v>
      </c>
      <c r="C8" s="1243">
        <v>4.25</v>
      </c>
      <c r="D8" s="1243">
        <v>8.5</v>
      </c>
      <c r="E8" s="1243">
        <v>1.375</v>
      </c>
      <c r="F8" s="1243">
        <v>2.5</v>
      </c>
      <c r="G8" s="1243">
        <v>3</v>
      </c>
      <c r="H8" s="1243">
        <v>1.5</v>
      </c>
      <c r="I8" s="1243">
        <v>7.25</v>
      </c>
      <c r="J8" s="1243">
        <v>6.75</v>
      </c>
      <c r="K8" s="1243">
        <v>5.625</v>
      </c>
      <c r="L8" s="1243"/>
      <c r="M8" s="1243"/>
      <c r="N8" s="1244"/>
      <c r="O8" s="1244"/>
      <c r="P8" s="1243"/>
      <c r="Q8" s="1243"/>
      <c r="R8" s="1244"/>
      <c r="S8" s="1243">
        <v>2.75</v>
      </c>
      <c r="T8" s="1243">
        <v>2.75</v>
      </c>
      <c r="U8" s="1243">
        <v>14.5</v>
      </c>
      <c r="V8" s="1243">
        <v>14.5</v>
      </c>
      <c r="W8" s="2"/>
      <c r="X8" s="1243"/>
      <c r="Y8" s="1244"/>
      <c r="Z8" s="1244"/>
      <c r="AA8" s="1244">
        <v>33</v>
      </c>
      <c r="AB8" s="1255" t="s">
        <v>189</v>
      </c>
      <c r="AC8" s="1245">
        <v>8</v>
      </c>
      <c r="AD8" s="1246">
        <v>0.875</v>
      </c>
      <c r="AE8" s="1246">
        <v>5.75</v>
      </c>
    </row>
    <row r="9" spans="1:31" ht="15" customHeight="1" thickBot="1" x14ac:dyDescent="0.25">
      <c r="A9" s="1255" t="s">
        <v>795</v>
      </c>
      <c r="B9" s="1237">
        <v>2.875</v>
      </c>
      <c r="C9" s="1238">
        <v>4.375</v>
      </c>
      <c r="D9" s="1238">
        <v>9.625</v>
      </c>
      <c r="E9" s="1238">
        <v>1.75</v>
      </c>
      <c r="F9" s="1238">
        <v>3</v>
      </c>
      <c r="G9" s="1238">
        <v>3.5</v>
      </c>
      <c r="H9" s="1238">
        <v>1.5</v>
      </c>
      <c r="I9" s="1238">
        <v>8.125</v>
      </c>
      <c r="J9" s="1238">
        <v>7.375</v>
      </c>
      <c r="K9" s="1238">
        <v>6.125</v>
      </c>
      <c r="L9" s="1238"/>
      <c r="M9" s="1238"/>
      <c r="N9" s="1239"/>
      <c r="O9" s="1239"/>
      <c r="P9" s="1238"/>
      <c r="Q9" s="1238"/>
      <c r="R9" s="1239"/>
      <c r="S9" s="1238">
        <v>3.25</v>
      </c>
      <c r="T9" s="1238">
        <v>3.25</v>
      </c>
      <c r="U9" s="1238"/>
      <c r="V9" s="1238"/>
      <c r="W9" s="157"/>
      <c r="X9" s="1238"/>
      <c r="Y9" s="1239"/>
      <c r="Z9" s="1239"/>
      <c r="AA9" s="1239"/>
      <c r="AB9" s="1255" t="s">
        <v>795</v>
      </c>
      <c r="AC9" s="1240">
        <v>8</v>
      </c>
      <c r="AD9" s="1256">
        <v>1</v>
      </c>
      <c r="AE9" s="1241">
        <v>6.25</v>
      </c>
    </row>
    <row r="10" spans="1:31" ht="15" customHeight="1" thickBot="1" x14ac:dyDescent="0.25">
      <c r="A10" s="1255" t="s">
        <v>241</v>
      </c>
      <c r="B10" s="1242">
        <v>3.5</v>
      </c>
      <c r="C10" s="1243">
        <v>4.25</v>
      </c>
      <c r="D10" s="1243">
        <v>9.5</v>
      </c>
      <c r="E10" s="1243">
        <v>2</v>
      </c>
      <c r="F10" s="1243">
        <v>3.375</v>
      </c>
      <c r="G10" s="1243">
        <v>3.5</v>
      </c>
      <c r="H10" s="1243">
        <v>2</v>
      </c>
      <c r="I10" s="1243">
        <v>8.75</v>
      </c>
      <c r="J10" s="1243">
        <v>7.625</v>
      </c>
      <c r="K10" s="1243">
        <v>6.25</v>
      </c>
      <c r="L10" s="1243">
        <v>15</v>
      </c>
      <c r="M10" s="1243">
        <v>27.25</v>
      </c>
      <c r="N10" s="1244">
        <v>12</v>
      </c>
      <c r="O10" s="1244">
        <v>15</v>
      </c>
      <c r="P10" s="1243">
        <v>15</v>
      </c>
      <c r="Q10" s="1243">
        <v>24</v>
      </c>
      <c r="R10" s="1244">
        <v>12</v>
      </c>
      <c r="S10" s="1243">
        <v>3.25</v>
      </c>
      <c r="T10" s="1243">
        <v>3.25</v>
      </c>
      <c r="U10" s="1243">
        <v>15</v>
      </c>
      <c r="V10" s="1243">
        <v>15</v>
      </c>
      <c r="W10" s="2">
        <v>7.0625</v>
      </c>
      <c r="X10" s="1243">
        <v>3.125</v>
      </c>
      <c r="Y10" s="2">
        <v>10.0625</v>
      </c>
      <c r="Z10" s="1243">
        <v>17.125</v>
      </c>
      <c r="AA10" s="1244">
        <v>33</v>
      </c>
      <c r="AB10" s="1255" t="s">
        <v>241</v>
      </c>
      <c r="AC10" s="1245">
        <v>8</v>
      </c>
      <c r="AD10" s="1246">
        <v>0.875</v>
      </c>
      <c r="AE10" s="1246">
        <v>5.75</v>
      </c>
    </row>
    <row r="11" spans="1:31" ht="15" customHeight="1" thickBot="1" x14ac:dyDescent="0.25">
      <c r="A11" s="1255" t="s">
        <v>253</v>
      </c>
      <c r="B11" s="1237">
        <v>4.5</v>
      </c>
      <c r="C11" s="1238">
        <v>4.75</v>
      </c>
      <c r="D11" s="1238">
        <v>11.5</v>
      </c>
      <c r="E11" s="1238">
        <v>2.5</v>
      </c>
      <c r="F11" s="1238">
        <v>4.125</v>
      </c>
      <c r="G11" s="1238">
        <v>4</v>
      </c>
      <c r="H11" s="1238">
        <v>2.5</v>
      </c>
      <c r="I11" s="1238">
        <v>10.75</v>
      </c>
      <c r="J11" s="1238">
        <v>8.875</v>
      </c>
      <c r="K11" s="1238">
        <v>7.25</v>
      </c>
      <c r="L11" s="1238">
        <v>18</v>
      </c>
      <c r="M11" s="1238">
        <v>31.5</v>
      </c>
      <c r="N11" s="1239">
        <v>14</v>
      </c>
      <c r="O11" s="1239">
        <v>18</v>
      </c>
      <c r="P11" s="1238">
        <v>18</v>
      </c>
      <c r="Q11" s="1238">
        <v>29.5</v>
      </c>
      <c r="R11" s="1239">
        <v>20</v>
      </c>
      <c r="S11" s="1238">
        <v>4</v>
      </c>
      <c r="T11" s="1238">
        <v>4</v>
      </c>
      <c r="U11" s="1238">
        <v>18</v>
      </c>
      <c r="V11" s="1238">
        <v>18</v>
      </c>
      <c r="W11" s="157">
        <v>9.5625</v>
      </c>
      <c r="X11" s="1238">
        <v>5</v>
      </c>
      <c r="Y11" s="157">
        <v>11.5</v>
      </c>
      <c r="Z11" s="1238">
        <v>24</v>
      </c>
      <c r="AA11" s="1239">
        <v>44</v>
      </c>
      <c r="AB11" s="1255" t="s">
        <v>253</v>
      </c>
      <c r="AC11" s="1240">
        <v>8</v>
      </c>
      <c r="AD11" s="1241">
        <v>1.125</v>
      </c>
      <c r="AE11" s="1241">
        <v>6.75</v>
      </c>
    </row>
    <row r="12" spans="1:31" ht="15" customHeight="1" thickBot="1" x14ac:dyDescent="0.25">
      <c r="A12" s="1255" t="s">
        <v>254</v>
      </c>
      <c r="B12" s="1242">
        <v>6.625</v>
      </c>
      <c r="C12" s="1243">
        <v>5.75</v>
      </c>
      <c r="D12" s="1243">
        <v>15</v>
      </c>
      <c r="E12" s="1243">
        <v>3.75</v>
      </c>
      <c r="F12" s="1243">
        <v>5.625</v>
      </c>
      <c r="G12" s="1243">
        <v>5.5</v>
      </c>
      <c r="H12" s="1243">
        <v>3.5</v>
      </c>
      <c r="I12" s="1243">
        <v>14.75</v>
      </c>
      <c r="J12" s="1243">
        <v>11.375</v>
      </c>
      <c r="K12" s="1243">
        <v>9.5</v>
      </c>
      <c r="L12" s="1243">
        <v>24</v>
      </c>
      <c r="M12" s="1243">
        <v>42.75</v>
      </c>
      <c r="N12" s="1244">
        <v>20</v>
      </c>
      <c r="O12" s="1244">
        <v>24</v>
      </c>
      <c r="P12" s="1243">
        <v>24</v>
      </c>
      <c r="Q12" s="1243">
        <v>37.75</v>
      </c>
      <c r="R12" s="1244">
        <v>27</v>
      </c>
      <c r="S12" s="1243">
        <v>6.25</v>
      </c>
      <c r="T12" s="1243">
        <v>6.25</v>
      </c>
      <c r="U12" s="1243">
        <v>24</v>
      </c>
      <c r="V12" s="1243">
        <v>24</v>
      </c>
      <c r="W12" s="2">
        <v>10.8125</v>
      </c>
      <c r="X12" s="1243">
        <v>5</v>
      </c>
      <c r="Y12" s="2">
        <v>11.5</v>
      </c>
      <c r="Z12" s="1243">
        <v>24</v>
      </c>
      <c r="AA12" s="1243"/>
      <c r="AB12" s="1255" t="s">
        <v>254</v>
      </c>
      <c r="AC12" s="1245">
        <v>12</v>
      </c>
      <c r="AD12" s="1246">
        <v>1.125</v>
      </c>
      <c r="AE12" s="1246">
        <v>7.75</v>
      </c>
    </row>
    <row r="13" spans="1:31" ht="15" customHeight="1" thickBot="1" x14ac:dyDescent="0.25">
      <c r="A13" s="1255" t="s">
        <v>278</v>
      </c>
      <c r="B13" s="1237">
        <v>8.625</v>
      </c>
      <c r="C13" s="1238">
        <v>6.625</v>
      </c>
      <c r="D13" s="1238">
        <v>18.5</v>
      </c>
      <c r="E13" s="1238">
        <v>5</v>
      </c>
      <c r="F13" s="1238">
        <v>7</v>
      </c>
      <c r="G13" s="1238">
        <v>6</v>
      </c>
      <c r="H13" s="1238">
        <v>4</v>
      </c>
      <c r="I13" s="1238">
        <v>18.625</v>
      </c>
      <c r="J13" s="1238">
        <v>13.625</v>
      </c>
      <c r="K13" s="1238">
        <v>11.625</v>
      </c>
      <c r="L13" s="1238">
        <v>29</v>
      </c>
      <c r="M13" s="1238">
        <v>52.5</v>
      </c>
      <c r="N13" s="1239">
        <v>24</v>
      </c>
      <c r="O13" s="1239">
        <v>29</v>
      </c>
      <c r="P13" s="1238"/>
      <c r="Q13" s="1238"/>
      <c r="R13" s="1239"/>
      <c r="S13" s="1238">
        <v>8.125</v>
      </c>
      <c r="T13" s="1238">
        <v>8.125</v>
      </c>
      <c r="U13" s="1238">
        <v>29</v>
      </c>
      <c r="V13" s="1238">
        <v>29</v>
      </c>
      <c r="W13" s="157">
        <v>16</v>
      </c>
      <c r="X13" s="157">
        <v>3.6875</v>
      </c>
      <c r="Y13" s="157">
        <v>18.9375</v>
      </c>
      <c r="Z13" s="1238">
        <v>30.25</v>
      </c>
      <c r="AA13" s="1238"/>
      <c r="AB13" s="1255" t="s">
        <v>278</v>
      </c>
      <c r="AC13" s="1240">
        <v>12</v>
      </c>
      <c r="AD13" s="1241">
        <v>1.375</v>
      </c>
      <c r="AE13" s="1241">
        <v>8.75</v>
      </c>
    </row>
    <row r="14" spans="1:31" ht="15" customHeight="1" thickBot="1" x14ac:dyDescent="0.25">
      <c r="A14" s="1255" t="s">
        <v>279</v>
      </c>
      <c r="B14" s="1242">
        <v>10.75</v>
      </c>
      <c r="C14" s="1243">
        <v>7.5</v>
      </c>
      <c r="D14" s="1243">
        <v>21.5</v>
      </c>
      <c r="E14" s="1243">
        <v>6.25</v>
      </c>
      <c r="F14" s="1243">
        <v>8.5</v>
      </c>
      <c r="G14" s="1243">
        <v>7</v>
      </c>
      <c r="H14" s="1243">
        <v>5</v>
      </c>
      <c r="I14" s="1243">
        <v>22.5</v>
      </c>
      <c r="J14" s="1243">
        <v>16</v>
      </c>
      <c r="K14" s="1243">
        <v>13.75</v>
      </c>
      <c r="L14" s="1243">
        <v>33</v>
      </c>
      <c r="M14" s="1243">
        <v>62.25</v>
      </c>
      <c r="N14" s="1244">
        <v>27</v>
      </c>
      <c r="O14" s="1244"/>
      <c r="P14" s="1243"/>
      <c r="Q14" s="1243"/>
      <c r="R14" s="1244"/>
      <c r="S14" s="1243">
        <v>9.5</v>
      </c>
      <c r="T14" s="1243">
        <v>9.5</v>
      </c>
      <c r="U14" s="1243">
        <v>33</v>
      </c>
      <c r="V14" s="1243">
        <v>33</v>
      </c>
      <c r="W14" s="2">
        <v>15.625</v>
      </c>
      <c r="X14" s="2">
        <v>3.6875</v>
      </c>
      <c r="Y14" s="2">
        <v>18.9375</v>
      </c>
      <c r="Z14" s="1243">
        <v>30.25</v>
      </c>
      <c r="AA14" s="1243"/>
      <c r="AB14" s="1255" t="s">
        <v>279</v>
      </c>
      <c r="AC14" s="1245">
        <v>16</v>
      </c>
      <c r="AD14" s="1246">
        <v>1.375</v>
      </c>
      <c r="AE14" s="1246">
        <v>9.25</v>
      </c>
    </row>
    <row r="15" spans="1:31" ht="15" customHeight="1" thickBot="1" x14ac:dyDescent="0.25">
      <c r="A15" s="1255" t="s">
        <v>280</v>
      </c>
      <c r="B15" s="1237">
        <v>12.75</v>
      </c>
      <c r="C15" s="1238">
        <v>8.125</v>
      </c>
      <c r="D15" s="1238">
        <v>24</v>
      </c>
      <c r="E15" s="1238">
        <v>7.5</v>
      </c>
      <c r="F15" s="1238">
        <v>10</v>
      </c>
      <c r="G15" s="1238">
        <v>8</v>
      </c>
      <c r="H15" s="1238">
        <v>6</v>
      </c>
      <c r="I15" s="1238">
        <v>26.125</v>
      </c>
      <c r="J15" s="1238">
        <v>18.125</v>
      </c>
      <c r="K15" s="1238">
        <v>15.625</v>
      </c>
      <c r="L15" s="1238">
        <v>38</v>
      </c>
      <c r="M15" s="1238">
        <v>73.5</v>
      </c>
      <c r="N15" s="1239">
        <v>30</v>
      </c>
      <c r="O15" s="1239"/>
      <c r="P15" s="1238"/>
      <c r="Q15" s="1238"/>
      <c r="R15" s="1239"/>
      <c r="S15" s="1238">
        <v>11.5</v>
      </c>
      <c r="T15" s="1238">
        <v>11.5</v>
      </c>
      <c r="U15" s="1238">
        <v>38</v>
      </c>
      <c r="V15" s="1238">
        <v>38</v>
      </c>
      <c r="W15" s="1238">
        <v>18.375</v>
      </c>
      <c r="X15" s="157">
        <v>3.6875</v>
      </c>
      <c r="Y15" s="157">
        <v>18.9375</v>
      </c>
      <c r="Z15" s="1238">
        <v>30.25</v>
      </c>
      <c r="AA15" s="1238"/>
      <c r="AB15" s="1255" t="s">
        <v>280</v>
      </c>
      <c r="AC15" s="1240">
        <v>20</v>
      </c>
      <c r="AD15" s="1241">
        <v>1.375</v>
      </c>
      <c r="AE15" s="1241">
        <v>10</v>
      </c>
    </row>
    <row r="16" spans="1:31" ht="15" customHeight="1" thickBot="1" x14ac:dyDescent="0.25">
      <c r="A16" s="1255" t="s">
        <v>281</v>
      </c>
      <c r="B16" s="1242">
        <v>14</v>
      </c>
      <c r="C16" s="1243">
        <v>8.625</v>
      </c>
      <c r="D16" s="1243">
        <v>25.25</v>
      </c>
      <c r="E16" s="1243">
        <v>8.75</v>
      </c>
      <c r="F16" s="1243">
        <v>11</v>
      </c>
      <c r="G16" s="1243">
        <v>13</v>
      </c>
      <c r="H16" s="1243">
        <v>6.5</v>
      </c>
      <c r="I16" s="1243">
        <v>29.625</v>
      </c>
      <c r="J16" s="1243">
        <v>19.625</v>
      </c>
      <c r="K16" s="1243">
        <v>17.375</v>
      </c>
      <c r="L16" s="1243">
        <v>40.5</v>
      </c>
      <c r="M16" s="1243">
        <v>77.25</v>
      </c>
      <c r="N16" s="1244">
        <v>30</v>
      </c>
      <c r="O16" s="1244"/>
      <c r="P16" s="1243"/>
      <c r="Q16" s="1243"/>
      <c r="R16" s="1244"/>
      <c r="S16" s="1243">
        <v>14</v>
      </c>
      <c r="T16" s="1243">
        <v>14</v>
      </c>
      <c r="U16" s="1243">
        <v>40.5</v>
      </c>
      <c r="V16" s="1243">
        <v>40.5</v>
      </c>
      <c r="W16" s="2">
        <v>21.5</v>
      </c>
      <c r="X16" s="1243">
        <v>4.875</v>
      </c>
      <c r="Y16" s="1243">
        <v>21.5</v>
      </c>
      <c r="Z16" s="1243">
        <v>39</v>
      </c>
      <c r="AA16" s="1243"/>
      <c r="AB16" s="1255" t="s">
        <v>281</v>
      </c>
      <c r="AC16" s="1245">
        <v>20</v>
      </c>
      <c r="AD16" s="1246">
        <v>1.5</v>
      </c>
      <c r="AE16" s="1246">
        <v>10.75</v>
      </c>
    </row>
    <row r="17" spans="1:31" ht="15" customHeight="1" thickBot="1" x14ac:dyDescent="0.25">
      <c r="A17" s="1255" t="s">
        <v>282</v>
      </c>
      <c r="B17" s="1237">
        <v>16</v>
      </c>
      <c r="C17" s="1238">
        <v>8.75</v>
      </c>
      <c r="D17" s="1238">
        <v>27.75</v>
      </c>
      <c r="E17" s="1238">
        <v>10</v>
      </c>
      <c r="F17" s="1238">
        <v>12</v>
      </c>
      <c r="G17" s="1238">
        <v>14</v>
      </c>
      <c r="H17" s="1238">
        <v>7</v>
      </c>
      <c r="I17" s="1238">
        <v>32.75</v>
      </c>
      <c r="J17" s="1238">
        <v>20.75</v>
      </c>
      <c r="K17" s="1238">
        <v>18.75</v>
      </c>
      <c r="L17" s="1238">
        <v>44.5</v>
      </c>
      <c r="M17" s="1238">
        <v>85.75</v>
      </c>
      <c r="N17" s="1239">
        <v>36</v>
      </c>
      <c r="O17" s="1239"/>
      <c r="P17" s="1238"/>
      <c r="Q17" s="1238"/>
      <c r="R17" s="1239"/>
      <c r="S17" s="1238" t="s">
        <v>811</v>
      </c>
      <c r="T17" s="1238">
        <v>15.125</v>
      </c>
      <c r="U17" s="1238">
        <v>44.5</v>
      </c>
      <c r="V17" s="1238">
        <v>44.5</v>
      </c>
      <c r="W17" s="157">
        <v>20.0625</v>
      </c>
      <c r="X17" s="1238">
        <v>4.875</v>
      </c>
      <c r="Y17" s="1238">
        <v>21.5</v>
      </c>
      <c r="Z17" s="1238">
        <v>39</v>
      </c>
      <c r="AA17" s="1238"/>
      <c r="AB17" s="1255" t="s">
        <v>282</v>
      </c>
      <c r="AC17" s="1240">
        <v>20</v>
      </c>
      <c r="AD17" s="1241">
        <v>1.625</v>
      </c>
      <c r="AE17" s="1241">
        <v>11.25</v>
      </c>
    </row>
    <row r="18" spans="1:31" ht="15" customHeight="1" thickBot="1" x14ac:dyDescent="0.25">
      <c r="A18" s="1255" t="s">
        <v>283</v>
      </c>
      <c r="B18" s="1242">
        <v>18</v>
      </c>
      <c r="C18" s="1243">
        <v>9.25</v>
      </c>
      <c r="D18" s="1243">
        <v>31</v>
      </c>
      <c r="E18" s="1243">
        <v>11.25</v>
      </c>
      <c r="F18" s="1243">
        <v>13.5</v>
      </c>
      <c r="G18" s="1243">
        <v>15</v>
      </c>
      <c r="H18" s="1243">
        <v>8</v>
      </c>
      <c r="I18" s="1243">
        <v>36.25</v>
      </c>
      <c r="J18" s="1243">
        <v>22.75</v>
      </c>
      <c r="K18" s="1243">
        <v>20.5</v>
      </c>
      <c r="L18" s="1243"/>
      <c r="M18" s="1243"/>
      <c r="N18" s="1244"/>
      <c r="O18" s="1244"/>
      <c r="P18" s="1243"/>
      <c r="Q18" s="1243"/>
      <c r="R18" s="1244"/>
      <c r="S18" s="1243">
        <v>17.75</v>
      </c>
      <c r="T18" s="1243">
        <v>17.75</v>
      </c>
      <c r="U18" s="1243">
        <v>48</v>
      </c>
      <c r="V18" s="1243"/>
      <c r="W18" s="2">
        <v>25.8125</v>
      </c>
      <c r="X18" s="1243">
        <v>9.75</v>
      </c>
      <c r="Y18" s="1243">
        <v>29</v>
      </c>
      <c r="Z18" s="1243">
        <v>30.25</v>
      </c>
      <c r="AA18" s="1243"/>
      <c r="AB18" s="1255" t="s">
        <v>283</v>
      </c>
      <c r="AC18" s="1245">
        <v>20</v>
      </c>
      <c r="AD18" s="1246">
        <v>1.875</v>
      </c>
      <c r="AE18" s="1246">
        <v>12.75</v>
      </c>
    </row>
    <row r="19" spans="1:31" ht="15" customHeight="1" thickBot="1" x14ac:dyDescent="0.25">
      <c r="A19" s="1255" t="s">
        <v>284</v>
      </c>
      <c r="B19" s="1237">
        <v>20</v>
      </c>
      <c r="C19" s="1238">
        <v>10</v>
      </c>
      <c r="D19" s="1238">
        <v>33.75</v>
      </c>
      <c r="E19" s="1238">
        <v>12.5</v>
      </c>
      <c r="F19" s="1238">
        <v>15</v>
      </c>
      <c r="G19" s="1238">
        <v>20</v>
      </c>
      <c r="H19" s="1238">
        <v>9</v>
      </c>
      <c r="I19" s="1238">
        <v>40</v>
      </c>
      <c r="J19" s="1238">
        <v>25</v>
      </c>
      <c r="K19" s="1238">
        <v>22.5</v>
      </c>
      <c r="L19" s="1238"/>
      <c r="M19" s="1238"/>
      <c r="N19" s="1239"/>
      <c r="O19" s="1239"/>
      <c r="P19" s="1238"/>
      <c r="Q19" s="1238"/>
      <c r="R19" s="1239"/>
      <c r="S19" s="1238">
        <v>17.75</v>
      </c>
      <c r="T19" s="1238">
        <v>17.75</v>
      </c>
      <c r="U19" s="1238">
        <v>52</v>
      </c>
      <c r="V19" s="1238">
        <v>52</v>
      </c>
      <c r="W19" s="1238">
        <v>28.875</v>
      </c>
      <c r="X19" s="1238">
        <v>5.75</v>
      </c>
      <c r="Y19" s="1238">
        <v>31.375</v>
      </c>
      <c r="Z19" s="1238">
        <v>30.25</v>
      </c>
      <c r="AA19" s="1238"/>
      <c r="AB19" s="1255" t="s">
        <v>284</v>
      </c>
      <c r="AC19" s="1240">
        <v>20</v>
      </c>
      <c r="AD19" s="1256">
        <v>2</v>
      </c>
      <c r="AE19" s="1241">
        <v>13.5</v>
      </c>
    </row>
    <row r="20" spans="1:31" ht="15" customHeight="1" thickBot="1" x14ac:dyDescent="0.25">
      <c r="A20" s="1255" t="s">
        <v>285</v>
      </c>
      <c r="B20" s="1242">
        <v>24</v>
      </c>
      <c r="C20" s="1243">
        <v>11.75</v>
      </c>
      <c r="D20" s="1243">
        <v>41</v>
      </c>
      <c r="E20" s="1243">
        <v>15</v>
      </c>
      <c r="F20" s="1243">
        <v>17</v>
      </c>
      <c r="G20" s="1243">
        <v>20</v>
      </c>
      <c r="H20" s="1243">
        <v>10.5</v>
      </c>
      <c r="I20" s="1243">
        <v>47.75</v>
      </c>
      <c r="J20" s="1243">
        <v>28.75</v>
      </c>
      <c r="K20" s="1243">
        <v>26.75</v>
      </c>
      <c r="L20" s="1243"/>
      <c r="M20" s="1243"/>
      <c r="N20" s="1244"/>
      <c r="O20" s="1244"/>
      <c r="P20" s="1243"/>
      <c r="Q20" s="1243"/>
      <c r="R20" s="1244"/>
      <c r="S20" s="1243">
        <v>19.5</v>
      </c>
      <c r="T20" s="1243">
        <v>19.5</v>
      </c>
      <c r="U20" s="1243">
        <v>61</v>
      </c>
      <c r="V20" s="1243">
        <v>61</v>
      </c>
      <c r="W20" s="2">
        <v>30.9375</v>
      </c>
      <c r="X20" s="1243">
        <v>5.75</v>
      </c>
      <c r="Y20" s="1243">
        <v>31.375</v>
      </c>
      <c r="Z20" s="1243">
        <v>30.25</v>
      </c>
      <c r="AA20" s="1243"/>
      <c r="AB20" s="1255" t="s">
        <v>285</v>
      </c>
      <c r="AC20" s="1245">
        <v>20</v>
      </c>
      <c r="AD20" s="1246">
        <v>2.5</v>
      </c>
      <c r="AE20" s="1246">
        <v>17.25</v>
      </c>
    </row>
    <row r="21" spans="1:31" x14ac:dyDescent="0.2">
      <c r="A21" t="s">
        <v>796</v>
      </c>
      <c r="E21" s="1341" t="s">
        <v>797</v>
      </c>
      <c r="F21" s="1342"/>
      <c r="G21" s="1343"/>
    </row>
    <row r="22" spans="1:31" x14ac:dyDescent="0.2">
      <c r="A22" t="s">
        <v>798</v>
      </c>
      <c r="E22" s="1327"/>
      <c r="F22" s="1328"/>
      <c r="G22" s="1329"/>
    </row>
    <row r="23" spans="1:31" x14ac:dyDescent="0.2">
      <c r="A23" s="1247" t="s">
        <v>799</v>
      </c>
      <c r="B23" s="1247"/>
      <c r="C23" s="1247"/>
      <c r="D23" s="1247"/>
      <c r="E23" s="1330"/>
      <c r="F23" s="1331"/>
      <c r="G23" s="1332"/>
    </row>
    <row r="24" spans="1:31" x14ac:dyDescent="0.2">
      <c r="A24" s="1247" t="s">
        <v>800</v>
      </c>
      <c r="B24" s="1247"/>
      <c r="C24" s="1247"/>
      <c r="D24" s="1247"/>
    </row>
    <row r="25" spans="1:31" x14ac:dyDescent="0.2">
      <c r="B25" s="1257"/>
      <c r="C25" s="1257"/>
    </row>
  </sheetData>
  <mergeCells count="26">
    <mergeCell ref="O3:O4"/>
    <mergeCell ref="P3:R4"/>
    <mergeCell ref="S3:S4"/>
    <mergeCell ref="T3:T4"/>
    <mergeCell ref="E21:G21"/>
    <mergeCell ref="E22:G23"/>
    <mergeCell ref="I3:I4"/>
    <mergeCell ref="J3:J4"/>
    <mergeCell ref="G3:G4"/>
    <mergeCell ref="H3:H4"/>
    <mergeCell ref="A1:AE1"/>
    <mergeCell ref="A2:AB2"/>
    <mergeCell ref="A3:A4"/>
    <mergeCell ref="B3:B4"/>
    <mergeCell ref="C3:C4"/>
    <mergeCell ref="D3:D4"/>
    <mergeCell ref="E3:E4"/>
    <mergeCell ref="F3:F4"/>
    <mergeCell ref="AC3:AC5"/>
    <mergeCell ref="AD3:AE3"/>
    <mergeCell ref="AD4:AD5"/>
    <mergeCell ref="AE4:AE5"/>
    <mergeCell ref="K3:K4"/>
    <mergeCell ref="L3:N4"/>
    <mergeCell ref="U3:AA3"/>
    <mergeCell ref="AB3:AB4"/>
  </mergeCells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progId="AutoCAD-r13" shapeId="39937" r:id="rId3">
          <objectPr defaultSize="0" autoPict="0" r:id="rId4">
            <anchor moveWithCells="1">
              <from>
                <xdr:col>4</xdr:col>
                <xdr:colOff>295275</xdr:colOff>
                <xdr:row>1</xdr:row>
                <xdr:rowOff>28575</xdr:rowOff>
              </from>
              <to>
                <xdr:col>25</xdr:col>
                <xdr:colOff>352425</xdr:colOff>
                <xdr:row>1</xdr:row>
                <xdr:rowOff>2800350</xdr:rowOff>
              </to>
            </anchor>
          </objectPr>
        </oleObject>
      </mc:Choice>
      <mc:Fallback>
        <oleObject progId="AutoCAD-r13" shapeId="39937" r:id="rId3"/>
      </mc:Fallback>
    </mc:AlternateContent>
    <mc:AlternateContent xmlns:mc="http://schemas.openxmlformats.org/markup-compatibility/2006">
      <mc:Choice Requires="x14">
        <oleObject progId="AutoCAD-r13" shapeId="39938" r:id="rId5">
          <objectPr defaultSize="0" autoPict="0" r:id="rId6">
            <anchor moveWithCells="1">
              <from>
                <xdr:col>4</xdr:col>
                <xdr:colOff>219075</xdr:colOff>
                <xdr:row>1</xdr:row>
                <xdr:rowOff>28575</xdr:rowOff>
              </from>
              <to>
                <xdr:col>25</xdr:col>
                <xdr:colOff>266700</xdr:colOff>
                <xdr:row>1</xdr:row>
                <xdr:rowOff>2790825</xdr:rowOff>
              </to>
            </anchor>
          </objectPr>
        </oleObject>
      </mc:Choice>
      <mc:Fallback>
        <oleObject progId="AutoCAD-r13" shapeId="39938" r:id="rId5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E24"/>
  <sheetViews>
    <sheetView zoomScale="67" workbookViewId="0">
      <selection sqref="A1:AE1"/>
    </sheetView>
  </sheetViews>
  <sheetFormatPr defaultRowHeight="12.75" x14ac:dyDescent="0.2"/>
  <cols>
    <col min="1" max="1" width="6.5703125" customWidth="1"/>
    <col min="2" max="2" width="7.28515625" customWidth="1"/>
    <col min="3" max="3" width="6.42578125" customWidth="1"/>
    <col min="4" max="4" width="7.28515625" customWidth="1"/>
    <col min="5" max="6" width="6.42578125" customWidth="1"/>
    <col min="7" max="7" width="6.85546875" customWidth="1"/>
    <col min="8" max="8" width="6.42578125" customWidth="1"/>
    <col min="9" max="9" width="7.28515625" customWidth="1"/>
    <col min="10" max="10" width="7" customWidth="1"/>
    <col min="11" max="13" width="7.28515625" customWidth="1"/>
    <col min="14" max="14" width="3.85546875" customWidth="1"/>
    <col min="15" max="15" width="7.28515625" customWidth="1"/>
    <col min="16" max="16" width="6.42578125" customWidth="1"/>
    <col min="17" max="17" width="6.85546875" customWidth="1"/>
    <col min="18" max="18" width="3.85546875" customWidth="1"/>
    <col min="19" max="19" width="6.7109375" customWidth="1"/>
    <col min="20" max="20" width="8.42578125" customWidth="1"/>
    <col min="21" max="22" width="7.28515625" customWidth="1"/>
    <col min="23" max="23" width="8.7109375" customWidth="1"/>
    <col min="24" max="24" width="7.140625" customWidth="1"/>
    <col min="25" max="25" width="8.140625" customWidth="1"/>
    <col min="26" max="26" width="6.85546875" customWidth="1"/>
    <col min="27" max="27" width="3.85546875" customWidth="1"/>
    <col min="28" max="28" width="6.5703125" customWidth="1"/>
    <col min="29" max="29" width="5.7109375" customWidth="1"/>
    <col min="30" max="31" width="6.28515625" customWidth="1"/>
  </cols>
  <sheetData>
    <row r="1" spans="1:31" ht="25.5" customHeight="1" thickTop="1" thickBot="1" x14ac:dyDescent="0.25">
      <c r="A1" s="1357" t="s">
        <v>845</v>
      </c>
      <c r="B1" s="1358"/>
      <c r="C1" s="1358"/>
      <c r="D1" s="1358"/>
      <c r="E1" s="1358"/>
      <c r="F1" s="1358"/>
      <c r="G1" s="1358"/>
      <c r="H1" s="1358"/>
      <c r="I1" s="1358"/>
      <c r="J1" s="1358"/>
      <c r="K1" s="1358"/>
      <c r="L1" s="1358"/>
      <c r="M1" s="1358"/>
      <c r="N1" s="1358"/>
      <c r="O1" s="1358"/>
      <c r="P1" s="1358"/>
      <c r="Q1" s="1358"/>
      <c r="R1" s="1358"/>
      <c r="S1" s="1358"/>
      <c r="T1" s="1358"/>
      <c r="U1" s="1358"/>
      <c r="V1" s="1358"/>
      <c r="W1" s="1358"/>
      <c r="X1" s="1358"/>
      <c r="Y1" s="1358"/>
      <c r="Z1" s="1358"/>
      <c r="AA1" s="1358"/>
      <c r="AB1" s="1358"/>
      <c r="AC1" s="1358"/>
      <c r="AD1" s="1358"/>
      <c r="AE1" s="1359"/>
    </row>
    <row r="2" spans="1:31" ht="221.25" customHeight="1" thickTop="1" thickBot="1" x14ac:dyDescent="0.25">
      <c r="A2" s="1313"/>
      <c r="B2" s="1314"/>
      <c r="C2" s="1314"/>
      <c r="D2" s="1314"/>
      <c r="E2" s="1314"/>
      <c r="F2" s="1314"/>
      <c r="G2" s="1314"/>
      <c r="H2" s="1314"/>
      <c r="I2" s="1314"/>
      <c r="J2" s="1314"/>
      <c r="K2" s="1314"/>
      <c r="L2" s="1314"/>
      <c r="M2" s="1314"/>
      <c r="N2" s="1314"/>
      <c r="O2" s="1314"/>
      <c r="P2" s="1314"/>
      <c r="Q2" s="1314"/>
      <c r="R2" s="1314"/>
      <c r="S2" s="1314"/>
      <c r="T2" s="1314"/>
      <c r="U2" s="1314"/>
      <c r="V2" s="1314"/>
      <c r="W2" s="1314"/>
      <c r="X2" s="1314"/>
      <c r="Y2" s="1314"/>
      <c r="Z2" s="1314"/>
      <c r="AA2" s="1314"/>
      <c r="AB2" s="1314"/>
      <c r="AE2" s="468"/>
    </row>
    <row r="3" spans="1:31" ht="29.25" customHeight="1" thickBot="1" x14ac:dyDescent="0.25">
      <c r="A3" s="1315" t="s">
        <v>753</v>
      </c>
      <c r="B3" s="1315" t="s">
        <v>754</v>
      </c>
      <c r="C3" s="1315" t="s">
        <v>755</v>
      </c>
      <c r="D3" s="1315" t="s">
        <v>756</v>
      </c>
      <c r="E3" s="1315" t="s">
        <v>757</v>
      </c>
      <c r="F3" s="1315" t="s">
        <v>758</v>
      </c>
      <c r="G3" s="1315" t="s">
        <v>759</v>
      </c>
      <c r="H3" s="1315" t="s">
        <v>760</v>
      </c>
      <c r="I3" s="1315" t="s">
        <v>761</v>
      </c>
      <c r="J3" s="1315" t="s">
        <v>762</v>
      </c>
      <c r="K3" s="1315" t="s">
        <v>763</v>
      </c>
      <c r="L3" s="1333" t="s">
        <v>764</v>
      </c>
      <c r="M3" s="1333"/>
      <c r="N3" s="1333"/>
      <c r="O3" s="1315" t="s">
        <v>765</v>
      </c>
      <c r="P3" s="1333" t="s">
        <v>766</v>
      </c>
      <c r="Q3" s="1333"/>
      <c r="R3" s="1333"/>
      <c r="S3" s="1336" t="s">
        <v>802</v>
      </c>
      <c r="T3" s="1336" t="s">
        <v>768</v>
      </c>
      <c r="U3" s="1335" t="s">
        <v>769</v>
      </c>
      <c r="V3" s="1335"/>
      <c r="W3" s="1335"/>
      <c r="X3" s="1335"/>
      <c r="Y3" s="1335"/>
      <c r="Z3" s="1335"/>
      <c r="AA3" s="1335"/>
      <c r="AB3" s="1315" t="s">
        <v>753</v>
      </c>
      <c r="AC3" s="1317" t="s">
        <v>770</v>
      </c>
      <c r="AD3" s="1320" t="s">
        <v>771</v>
      </c>
      <c r="AE3" s="1321"/>
    </row>
    <row r="4" spans="1:31" ht="45" customHeight="1" thickBot="1" x14ac:dyDescent="0.25">
      <c r="A4" s="1316"/>
      <c r="B4" s="1316"/>
      <c r="C4" s="1316"/>
      <c r="D4" s="1316"/>
      <c r="E4" s="1316"/>
      <c r="F4" s="1316"/>
      <c r="G4" s="1316"/>
      <c r="H4" s="1316"/>
      <c r="I4" s="1316"/>
      <c r="J4" s="1316"/>
      <c r="K4" s="1316"/>
      <c r="L4" s="1334"/>
      <c r="M4" s="1334"/>
      <c r="N4" s="1334"/>
      <c r="O4" s="1316"/>
      <c r="P4" s="1334"/>
      <c r="Q4" s="1334"/>
      <c r="R4" s="1334"/>
      <c r="S4" s="1337"/>
      <c r="T4" s="1337"/>
      <c r="U4" s="1228" t="s">
        <v>772</v>
      </c>
      <c r="V4" s="1228" t="s">
        <v>773</v>
      </c>
      <c r="W4" s="1228" t="s">
        <v>774</v>
      </c>
      <c r="X4" s="1228" t="s">
        <v>775</v>
      </c>
      <c r="Y4" s="1228" t="s">
        <v>776</v>
      </c>
      <c r="Z4" s="1228" t="s">
        <v>777</v>
      </c>
      <c r="AA4" s="1228" t="s">
        <v>810</v>
      </c>
      <c r="AB4" s="1316"/>
      <c r="AC4" s="1318"/>
      <c r="AD4" s="1322" t="s">
        <v>779</v>
      </c>
      <c r="AE4" s="1322" t="s">
        <v>780</v>
      </c>
    </row>
    <row r="5" spans="1:31" ht="13.5" thickBot="1" x14ac:dyDescent="0.25">
      <c r="A5" s="1275"/>
      <c r="B5" s="1275"/>
      <c r="C5" s="1276" t="s">
        <v>1872</v>
      </c>
      <c r="D5" s="1276" t="s">
        <v>1873</v>
      </c>
      <c r="E5" s="1276" t="s">
        <v>1779</v>
      </c>
      <c r="F5" s="1276" t="s">
        <v>1769</v>
      </c>
      <c r="G5" s="1276" t="s">
        <v>1876</v>
      </c>
      <c r="H5" s="1276" t="s">
        <v>781</v>
      </c>
      <c r="I5" s="1276" t="s">
        <v>1877</v>
      </c>
      <c r="J5" s="1276" t="s">
        <v>1895</v>
      </c>
      <c r="K5" s="1276" t="s">
        <v>782</v>
      </c>
      <c r="L5" s="1276" t="s">
        <v>1874</v>
      </c>
      <c r="M5" s="1276" t="s">
        <v>783</v>
      </c>
      <c r="N5" s="1276" t="s">
        <v>1894</v>
      </c>
      <c r="O5" s="1276" t="s">
        <v>784</v>
      </c>
      <c r="P5" s="1276" t="s">
        <v>1921</v>
      </c>
      <c r="Q5" s="1276" t="s">
        <v>785</v>
      </c>
      <c r="R5" s="1276" t="s">
        <v>786</v>
      </c>
      <c r="S5" s="1276" t="s">
        <v>658</v>
      </c>
      <c r="T5" s="1276" t="s">
        <v>787</v>
      </c>
      <c r="U5" s="1276" t="s">
        <v>788</v>
      </c>
      <c r="V5" s="1276" t="s">
        <v>1768</v>
      </c>
      <c r="W5" s="1276" t="s">
        <v>1875</v>
      </c>
      <c r="X5" s="1276" t="s">
        <v>789</v>
      </c>
      <c r="Y5" s="1276" t="s">
        <v>790</v>
      </c>
      <c r="Z5" s="1276" t="s">
        <v>791</v>
      </c>
      <c r="AA5" s="1276" t="s">
        <v>792</v>
      </c>
      <c r="AB5" s="1275"/>
      <c r="AC5" s="1319"/>
      <c r="AD5" s="1323"/>
      <c r="AE5" s="1356"/>
    </row>
    <row r="6" spans="1:31" ht="15.75" customHeight="1" thickBot="1" x14ac:dyDescent="0.25">
      <c r="A6" s="1276" t="s">
        <v>119</v>
      </c>
      <c r="B6" s="1231">
        <v>1.3125</v>
      </c>
      <c r="C6" s="1233">
        <v>3.125</v>
      </c>
      <c r="D6" s="1233">
        <v>5.875</v>
      </c>
      <c r="E6" s="1233">
        <v>0.875</v>
      </c>
      <c r="F6" s="1233">
        <v>1.5</v>
      </c>
      <c r="G6" s="1233">
        <v>2</v>
      </c>
      <c r="H6" s="1233">
        <v>1.5</v>
      </c>
      <c r="I6" s="1233">
        <v>4.625</v>
      </c>
      <c r="J6" s="1233">
        <v>4.625</v>
      </c>
      <c r="K6" s="1233">
        <v>4</v>
      </c>
      <c r="L6" s="1233">
        <v>10</v>
      </c>
      <c r="M6" s="1233">
        <v>16</v>
      </c>
      <c r="N6" s="1234">
        <v>8</v>
      </c>
      <c r="O6" s="1234"/>
      <c r="P6" s="1233"/>
      <c r="Q6" s="1233"/>
      <c r="R6" s="1234"/>
      <c r="S6" s="1233"/>
      <c r="T6" s="1233"/>
      <c r="U6" s="1233">
        <v>10</v>
      </c>
      <c r="V6" s="1233"/>
      <c r="W6" s="1233">
        <v>3.125</v>
      </c>
      <c r="X6" s="1233"/>
      <c r="Y6" s="1234"/>
      <c r="Z6" s="1234"/>
      <c r="AA6" s="1234">
        <v>9</v>
      </c>
      <c r="AB6" s="1276" t="s">
        <v>119</v>
      </c>
      <c r="AC6" s="1235">
        <v>4</v>
      </c>
      <c r="AD6" s="1236">
        <v>0.875</v>
      </c>
      <c r="AE6" s="1277">
        <v>5</v>
      </c>
    </row>
    <row r="7" spans="1:31" ht="15.75" customHeight="1" thickBot="1" x14ac:dyDescent="0.25">
      <c r="A7" s="1276" t="s">
        <v>794</v>
      </c>
      <c r="B7" s="1237">
        <v>1.875</v>
      </c>
      <c r="C7" s="1238">
        <v>3.5</v>
      </c>
      <c r="D7" s="1238">
        <v>7</v>
      </c>
      <c r="E7" s="1238">
        <v>1.125</v>
      </c>
      <c r="F7" s="1238">
        <v>2.25</v>
      </c>
      <c r="G7" s="1238">
        <v>2.5</v>
      </c>
      <c r="H7" s="1238">
        <v>1.5</v>
      </c>
      <c r="I7" s="1238">
        <v>5.75</v>
      </c>
      <c r="J7" s="1238">
        <v>5.75</v>
      </c>
      <c r="K7" s="1238">
        <v>4.625</v>
      </c>
      <c r="L7" s="1238">
        <v>12</v>
      </c>
      <c r="M7" s="1238">
        <v>20</v>
      </c>
      <c r="N7" s="1239">
        <v>9</v>
      </c>
      <c r="O7" s="1239">
        <v>12</v>
      </c>
      <c r="P7" s="1238"/>
      <c r="Q7" s="1238"/>
      <c r="R7" s="1239"/>
      <c r="S7" s="1238"/>
      <c r="T7" s="1238"/>
      <c r="U7" s="1238">
        <v>12</v>
      </c>
      <c r="V7" s="1238"/>
      <c r="W7" s="157">
        <v>5.40625</v>
      </c>
      <c r="X7" s="1238"/>
      <c r="Y7" s="1239"/>
      <c r="Z7" s="1239"/>
      <c r="AA7" s="1239">
        <v>15</v>
      </c>
      <c r="AB7" s="1276" t="s">
        <v>794</v>
      </c>
      <c r="AC7" s="1240">
        <v>4</v>
      </c>
      <c r="AD7" s="1256">
        <v>1</v>
      </c>
      <c r="AE7" s="1278">
        <v>5.5</v>
      </c>
    </row>
    <row r="8" spans="1:31" ht="15.75" customHeight="1" thickBot="1" x14ac:dyDescent="0.25">
      <c r="A8" s="1276" t="s">
        <v>189</v>
      </c>
      <c r="B8" s="1242">
        <v>2.375</v>
      </c>
      <c r="C8" s="1243">
        <v>4.25</v>
      </c>
      <c r="D8" s="1243">
        <v>8.5</v>
      </c>
      <c r="E8" s="1243">
        <v>1.375</v>
      </c>
      <c r="F8" s="1243">
        <v>2.5</v>
      </c>
      <c r="G8" s="1243">
        <v>3</v>
      </c>
      <c r="H8" s="1243">
        <v>1.5</v>
      </c>
      <c r="I8" s="1243">
        <v>7.25</v>
      </c>
      <c r="J8" s="1243">
        <v>6.75</v>
      </c>
      <c r="K8" s="1243">
        <v>5.625</v>
      </c>
      <c r="L8" s="1243">
        <v>14.5</v>
      </c>
      <c r="M8" s="1243">
        <v>22.125</v>
      </c>
      <c r="N8" s="1244">
        <v>10</v>
      </c>
      <c r="O8" s="1243">
        <v>14.5</v>
      </c>
      <c r="P8" s="1243">
        <v>14.5</v>
      </c>
      <c r="Q8" s="1243">
        <v>25.125</v>
      </c>
      <c r="R8" s="1244">
        <v>14</v>
      </c>
      <c r="S8" s="1243"/>
      <c r="T8" s="1243">
        <v>2.75</v>
      </c>
      <c r="U8" s="1243">
        <v>14.5</v>
      </c>
      <c r="V8" s="1243">
        <v>14.5</v>
      </c>
      <c r="W8" s="1243">
        <v>6.5</v>
      </c>
      <c r="X8" s="1243"/>
      <c r="Y8" s="1244"/>
      <c r="Z8" s="1244"/>
      <c r="AA8" s="1244">
        <v>33</v>
      </c>
      <c r="AB8" s="1276" t="s">
        <v>189</v>
      </c>
      <c r="AC8" s="1245">
        <v>8</v>
      </c>
      <c r="AD8" s="1246">
        <v>0.875</v>
      </c>
      <c r="AE8" s="1279">
        <v>5.75</v>
      </c>
    </row>
    <row r="9" spans="1:31" ht="15.75" customHeight="1" thickBot="1" x14ac:dyDescent="0.25">
      <c r="A9" s="1276" t="s">
        <v>795</v>
      </c>
      <c r="B9" s="1237">
        <v>2.875</v>
      </c>
      <c r="C9" s="1238">
        <v>4.375</v>
      </c>
      <c r="D9" s="1238">
        <v>9.625</v>
      </c>
      <c r="E9" s="1238">
        <v>1.75</v>
      </c>
      <c r="F9" s="1238">
        <v>3</v>
      </c>
      <c r="G9" s="1238">
        <v>3.5</v>
      </c>
      <c r="H9" s="1238">
        <v>1.5</v>
      </c>
      <c r="I9" s="1238">
        <v>8.125</v>
      </c>
      <c r="J9" s="1238">
        <v>7.375</v>
      </c>
      <c r="K9" s="1238">
        <v>6.125</v>
      </c>
      <c r="L9" s="1238">
        <v>16.5</v>
      </c>
      <c r="M9" s="1238">
        <v>26.375</v>
      </c>
      <c r="N9" s="1239">
        <v>12</v>
      </c>
      <c r="O9" s="1238">
        <v>16.5</v>
      </c>
      <c r="P9" s="1238">
        <v>16.5</v>
      </c>
      <c r="Q9" s="1238">
        <v>28.125</v>
      </c>
      <c r="R9" s="1239">
        <v>18</v>
      </c>
      <c r="S9" s="1238"/>
      <c r="T9" s="1238">
        <v>3.25</v>
      </c>
      <c r="U9" s="1238"/>
      <c r="V9" s="1238"/>
      <c r="W9" s="1238"/>
      <c r="X9" s="1238"/>
      <c r="Y9" s="1239"/>
      <c r="Z9" s="1239"/>
      <c r="AA9" s="1239"/>
      <c r="AB9" s="1276" t="s">
        <v>795</v>
      </c>
      <c r="AC9" s="1240">
        <v>8</v>
      </c>
      <c r="AD9" s="1256">
        <v>1</v>
      </c>
      <c r="AE9" s="1278">
        <v>6.25</v>
      </c>
    </row>
    <row r="10" spans="1:31" ht="15.75" customHeight="1" thickBot="1" x14ac:dyDescent="0.25">
      <c r="A10" s="1276" t="s">
        <v>241</v>
      </c>
      <c r="B10" s="1242">
        <v>3.5</v>
      </c>
      <c r="C10" s="1243">
        <v>4.875</v>
      </c>
      <c r="D10" s="1243">
        <v>10.5</v>
      </c>
      <c r="E10" s="1243">
        <v>2</v>
      </c>
      <c r="F10" s="1243">
        <v>3.375</v>
      </c>
      <c r="G10" s="1243">
        <v>3.5</v>
      </c>
      <c r="H10" s="1243">
        <v>2</v>
      </c>
      <c r="I10" s="1243">
        <v>9.375</v>
      </c>
      <c r="J10" s="1243">
        <v>8.25</v>
      </c>
      <c r="K10" s="1243">
        <v>6.875</v>
      </c>
      <c r="L10" s="1243">
        <v>18.5</v>
      </c>
      <c r="M10" s="1243">
        <v>28</v>
      </c>
      <c r="N10" s="1244">
        <v>14</v>
      </c>
      <c r="O10" s="1243">
        <v>18.5</v>
      </c>
      <c r="P10" s="1243">
        <v>18.5</v>
      </c>
      <c r="Q10" s="1243">
        <v>33.5</v>
      </c>
      <c r="R10" s="1244">
        <v>24</v>
      </c>
      <c r="S10" s="1243"/>
      <c r="T10" s="1243">
        <v>3.25</v>
      </c>
      <c r="U10" s="1243">
        <v>18.5</v>
      </c>
      <c r="V10" s="1243">
        <v>18.5</v>
      </c>
      <c r="W10" s="1243">
        <v>7.375</v>
      </c>
      <c r="X10" s="1243">
        <v>3.125</v>
      </c>
      <c r="Y10" s="1243">
        <v>10.25</v>
      </c>
      <c r="Z10" s="1243">
        <v>17.125</v>
      </c>
      <c r="AA10" s="1244">
        <v>33</v>
      </c>
      <c r="AB10" s="1276" t="s">
        <v>241</v>
      </c>
      <c r="AC10" s="1245">
        <v>8</v>
      </c>
      <c r="AD10" s="1246">
        <v>1.125</v>
      </c>
      <c r="AE10" s="1279">
        <v>7</v>
      </c>
    </row>
    <row r="11" spans="1:31" ht="15.75" customHeight="1" thickBot="1" x14ac:dyDescent="0.25">
      <c r="A11" s="1276" t="s">
        <v>253</v>
      </c>
      <c r="B11" s="1237">
        <v>4.5</v>
      </c>
      <c r="C11" s="1238">
        <v>5.125</v>
      </c>
      <c r="D11" s="1238">
        <v>12.25</v>
      </c>
      <c r="E11" s="1238">
        <v>2.5</v>
      </c>
      <c r="F11" s="1238">
        <v>4.125</v>
      </c>
      <c r="G11" s="1238">
        <v>4</v>
      </c>
      <c r="H11" s="1238">
        <v>2.5</v>
      </c>
      <c r="I11" s="1238">
        <v>11.125</v>
      </c>
      <c r="J11" s="1238">
        <v>9.25</v>
      </c>
      <c r="K11" s="1238">
        <v>7.625</v>
      </c>
      <c r="L11" s="1238">
        <v>21.5</v>
      </c>
      <c r="M11" s="1238">
        <v>33</v>
      </c>
      <c r="N11" s="1239">
        <v>16</v>
      </c>
      <c r="O11" s="1238">
        <v>21.5</v>
      </c>
      <c r="P11" s="1238"/>
      <c r="Q11" s="1238"/>
      <c r="R11" s="1239"/>
      <c r="S11" s="1238"/>
      <c r="T11" s="1238">
        <v>4</v>
      </c>
      <c r="U11" s="1238">
        <v>21.5</v>
      </c>
      <c r="V11" s="1238">
        <v>21.5</v>
      </c>
      <c r="W11" s="157">
        <v>9.5625</v>
      </c>
      <c r="X11" s="1238">
        <v>5</v>
      </c>
      <c r="Y11" s="1238">
        <v>11.5</v>
      </c>
      <c r="Z11" s="1238">
        <v>24</v>
      </c>
      <c r="AA11" s="1239">
        <v>44</v>
      </c>
      <c r="AB11" s="1276" t="s">
        <v>253</v>
      </c>
      <c r="AC11" s="1240">
        <v>8</v>
      </c>
      <c r="AD11" s="1241">
        <v>1.25</v>
      </c>
      <c r="AE11" s="1278">
        <v>7.75</v>
      </c>
    </row>
    <row r="12" spans="1:31" ht="15.75" customHeight="1" thickBot="1" x14ac:dyDescent="0.25">
      <c r="A12" s="1276" t="s">
        <v>254</v>
      </c>
      <c r="B12" s="1242">
        <v>6.625</v>
      </c>
      <c r="C12" s="1243">
        <v>7</v>
      </c>
      <c r="D12" s="1243">
        <v>15.5</v>
      </c>
      <c r="E12" s="1243">
        <v>3.75</v>
      </c>
      <c r="F12" s="1243">
        <v>5.625</v>
      </c>
      <c r="G12" s="1243">
        <v>5.5</v>
      </c>
      <c r="H12" s="1243">
        <v>3.5</v>
      </c>
      <c r="I12" s="1243">
        <v>16</v>
      </c>
      <c r="J12" s="1243">
        <v>12.625</v>
      </c>
      <c r="K12" s="1243">
        <v>10.75</v>
      </c>
      <c r="L12" s="1243">
        <v>27.75</v>
      </c>
      <c r="M12" s="1243">
        <v>47</v>
      </c>
      <c r="N12" s="1244">
        <v>24</v>
      </c>
      <c r="O12" s="1243">
        <v>27.75</v>
      </c>
      <c r="P12" s="1243"/>
      <c r="Q12" s="1243"/>
      <c r="R12" s="1244"/>
      <c r="S12" s="1243"/>
      <c r="T12" s="1243">
        <v>6.25</v>
      </c>
      <c r="U12" s="1243">
        <v>27.75</v>
      </c>
      <c r="V12" s="1243">
        <v>27.75</v>
      </c>
      <c r="W12" s="2">
        <v>12.5625</v>
      </c>
      <c r="X12" s="1243">
        <v>5</v>
      </c>
      <c r="Y12" s="2">
        <v>18.9375</v>
      </c>
      <c r="Z12" s="1243">
        <v>30.25</v>
      </c>
      <c r="AA12" s="1243"/>
      <c r="AB12" s="1276" t="s">
        <v>254</v>
      </c>
      <c r="AC12" s="1245">
        <v>12</v>
      </c>
      <c r="AD12" s="1246">
        <v>1.375</v>
      </c>
      <c r="AE12" s="1279">
        <v>10.25</v>
      </c>
    </row>
    <row r="13" spans="1:31" ht="15.75" customHeight="1" thickBot="1" x14ac:dyDescent="0.25">
      <c r="A13" s="1276" t="s">
        <v>278</v>
      </c>
      <c r="B13" s="1237">
        <v>8.625</v>
      </c>
      <c r="C13" s="1238">
        <v>8.625</v>
      </c>
      <c r="D13" s="1238">
        <v>19</v>
      </c>
      <c r="E13" s="1238">
        <v>5</v>
      </c>
      <c r="F13" s="1238">
        <v>7</v>
      </c>
      <c r="G13" s="1238">
        <v>6</v>
      </c>
      <c r="H13" s="1238">
        <v>4</v>
      </c>
      <c r="I13" s="1238">
        <v>20.625</v>
      </c>
      <c r="J13" s="1238">
        <v>15.625</v>
      </c>
      <c r="K13" s="1238">
        <v>13.625</v>
      </c>
      <c r="L13" s="1238" t="s">
        <v>846</v>
      </c>
      <c r="M13" s="1238">
        <v>55</v>
      </c>
      <c r="N13" s="1239">
        <v>27</v>
      </c>
      <c r="O13" s="1238">
        <v>32.75</v>
      </c>
      <c r="P13" s="1238"/>
      <c r="Q13" s="1238"/>
      <c r="R13" s="1239"/>
      <c r="S13" s="1238"/>
      <c r="T13" s="1238">
        <v>8.125</v>
      </c>
      <c r="U13" s="1238">
        <v>32.75</v>
      </c>
      <c r="V13" s="1238">
        <v>32.75</v>
      </c>
      <c r="W13" s="1238">
        <v>14.5</v>
      </c>
      <c r="X13" s="157">
        <v>3.6875</v>
      </c>
      <c r="Y13" s="157">
        <v>18.9375</v>
      </c>
      <c r="Z13" s="1238">
        <v>30.25</v>
      </c>
      <c r="AA13" s="1238"/>
      <c r="AB13" s="1276" t="s">
        <v>278</v>
      </c>
      <c r="AC13" s="1240">
        <v>12</v>
      </c>
      <c r="AD13" s="1241">
        <v>1.625</v>
      </c>
      <c r="AE13" s="1278">
        <v>11.5</v>
      </c>
    </row>
    <row r="14" spans="1:31" ht="15.75" customHeight="1" thickBot="1" x14ac:dyDescent="0.25">
      <c r="A14" s="1276" t="s">
        <v>279</v>
      </c>
      <c r="B14" s="1242">
        <v>10.75</v>
      </c>
      <c r="C14" s="1243">
        <v>10.25</v>
      </c>
      <c r="D14" s="1243">
        <v>23</v>
      </c>
      <c r="E14" s="1243">
        <v>6.25</v>
      </c>
      <c r="F14" s="1243">
        <v>8.5</v>
      </c>
      <c r="G14" s="1243">
        <v>7</v>
      </c>
      <c r="H14" s="1243">
        <v>5</v>
      </c>
      <c r="I14" s="1243">
        <v>25.25</v>
      </c>
      <c r="J14" s="1243">
        <v>18.75</v>
      </c>
      <c r="K14" s="1243">
        <v>16.5</v>
      </c>
      <c r="L14" s="1243"/>
      <c r="M14" s="1243"/>
      <c r="N14" s="1244"/>
      <c r="O14" s="1244"/>
      <c r="P14" s="1243"/>
      <c r="Q14" s="1243"/>
      <c r="R14" s="1244"/>
      <c r="S14" s="1243"/>
      <c r="T14" s="1243">
        <v>9.75</v>
      </c>
      <c r="U14" s="1243">
        <v>39</v>
      </c>
      <c r="V14" s="1243">
        <v>39</v>
      </c>
      <c r="W14" s="1243">
        <v>18.875</v>
      </c>
      <c r="X14" s="1243">
        <v>4.875</v>
      </c>
      <c r="Y14" s="1243">
        <v>21.5</v>
      </c>
      <c r="Z14" s="1243">
        <v>39</v>
      </c>
      <c r="AA14" s="1243"/>
      <c r="AB14" s="1276" t="s">
        <v>279</v>
      </c>
      <c r="AC14" s="1245">
        <v>12</v>
      </c>
      <c r="AD14" s="1246">
        <v>1.875</v>
      </c>
      <c r="AE14" s="1279">
        <v>13.25</v>
      </c>
    </row>
    <row r="15" spans="1:31" ht="15.75" customHeight="1" thickBot="1" x14ac:dyDescent="0.25">
      <c r="A15" s="1276" t="s">
        <v>280</v>
      </c>
      <c r="B15" s="1237">
        <v>12.75</v>
      </c>
      <c r="C15" s="1238">
        <v>11.375</v>
      </c>
      <c r="D15" s="1238">
        <v>26.5</v>
      </c>
      <c r="E15" s="1238">
        <v>7.5</v>
      </c>
      <c r="F15" s="1238">
        <v>10</v>
      </c>
      <c r="G15" s="1238">
        <v>8</v>
      </c>
      <c r="H15" s="1238">
        <v>6</v>
      </c>
      <c r="I15" s="1238">
        <v>29.375</v>
      </c>
      <c r="J15" s="1238">
        <v>21.375</v>
      </c>
      <c r="K15" s="1238">
        <v>18.875</v>
      </c>
      <c r="L15" s="1238"/>
      <c r="M15" s="1238"/>
      <c r="N15" s="1239"/>
      <c r="O15" s="1239"/>
      <c r="P15" s="1238"/>
      <c r="Q15" s="1238"/>
      <c r="R15" s="1239"/>
      <c r="S15" s="1238"/>
      <c r="T15" s="1238">
        <v>12</v>
      </c>
      <c r="U15" s="1238">
        <v>44.5</v>
      </c>
      <c r="V15" s="1238">
        <v>44.5</v>
      </c>
      <c r="W15" s="157">
        <v>21.6875</v>
      </c>
      <c r="X15" s="1238">
        <v>4.875</v>
      </c>
      <c r="Y15" s="1238">
        <v>21.5</v>
      </c>
      <c r="Z15" s="1238">
        <v>39</v>
      </c>
      <c r="AA15" s="1238"/>
      <c r="AB15" s="1276" t="s">
        <v>280</v>
      </c>
      <c r="AC15" s="1240">
        <v>16</v>
      </c>
      <c r="AD15" s="1241">
        <v>2</v>
      </c>
      <c r="AE15" s="1278">
        <v>14.75</v>
      </c>
    </row>
    <row r="16" spans="1:31" ht="15.75" customHeight="1" thickBot="1" x14ac:dyDescent="0.25">
      <c r="A16" s="1276" t="s">
        <v>281</v>
      </c>
      <c r="B16" s="1242">
        <v>14</v>
      </c>
      <c r="C16" s="1243">
        <v>12</v>
      </c>
      <c r="D16" s="1243">
        <v>29.5</v>
      </c>
      <c r="E16" s="1243">
        <v>8.75</v>
      </c>
      <c r="F16" s="1243">
        <v>11</v>
      </c>
      <c r="G16" s="1243">
        <v>13</v>
      </c>
      <c r="H16" s="1243">
        <v>6.5</v>
      </c>
      <c r="I16" s="1243">
        <v>33</v>
      </c>
      <c r="J16" s="1243">
        <v>23</v>
      </c>
      <c r="K16" s="1243">
        <v>20.75</v>
      </c>
      <c r="L16" s="1243"/>
      <c r="M16" s="1243"/>
      <c r="N16" s="1244"/>
      <c r="O16" s="1244"/>
      <c r="P16" s="1243"/>
      <c r="Q16" s="1243"/>
      <c r="R16" s="1244"/>
      <c r="S16" s="1243"/>
      <c r="T16" s="1243">
        <v>14</v>
      </c>
      <c r="U16" s="1243">
        <v>49.5</v>
      </c>
      <c r="V16" s="1243">
        <v>49.5</v>
      </c>
      <c r="W16" s="1243">
        <v>23.75</v>
      </c>
      <c r="X16" s="1243">
        <v>9.75</v>
      </c>
      <c r="Y16" s="1243">
        <v>29</v>
      </c>
      <c r="Z16" s="1243">
        <v>39</v>
      </c>
      <c r="AA16" s="1243"/>
      <c r="AB16" s="1276" t="s">
        <v>281</v>
      </c>
      <c r="AC16" s="1245">
        <v>16</v>
      </c>
      <c r="AD16" s="1246">
        <v>2.25</v>
      </c>
      <c r="AE16" s="1279">
        <v>16</v>
      </c>
    </row>
    <row r="17" spans="1:31" ht="15.75" customHeight="1" thickBot="1" x14ac:dyDescent="0.25">
      <c r="A17" s="1276" t="s">
        <v>282</v>
      </c>
      <c r="B17" s="1237">
        <v>16</v>
      </c>
      <c r="C17" s="1238">
        <v>12.5</v>
      </c>
      <c r="D17" s="1238">
        <v>32.5</v>
      </c>
      <c r="E17" s="1238">
        <v>10</v>
      </c>
      <c r="F17" s="1238">
        <v>12</v>
      </c>
      <c r="G17" s="1238">
        <v>14</v>
      </c>
      <c r="H17" s="1238">
        <v>7</v>
      </c>
      <c r="I17" s="1238">
        <v>36.5</v>
      </c>
      <c r="J17" s="1238">
        <v>24.5</v>
      </c>
      <c r="K17" s="1238">
        <v>22.5</v>
      </c>
      <c r="L17" s="1238"/>
      <c r="M17" s="1238"/>
      <c r="N17" s="1239"/>
      <c r="O17" s="1239"/>
      <c r="P17" s="1238"/>
      <c r="Q17" s="1238"/>
      <c r="R17" s="1239"/>
      <c r="S17" s="1238"/>
      <c r="T17" s="1238">
        <v>15.125</v>
      </c>
      <c r="U17" s="1238">
        <v>54.5</v>
      </c>
      <c r="V17" s="1238">
        <v>54.5</v>
      </c>
      <c r="W17" s="1238">
        <v>25.75</v>
      </c>
      <c r="X17" s="1238">
        <v>9.75</v>
      </c>
      <c r="Y17" s="1238">
        <v>29</v>
      </c>
      <c r="Z17" s="1238">
        <v>30.25</v>
      </c>
      <c r="AA17" s="1238"/>
      <c r="AB17" s="1276" t="s">
        <v>282</v>
      </c>
      <c r="AC17" s="1240">
        <v>16</v>
      </c>
      <c r="AD17" s="1241">
        <v>2.5</v>
      </c>
      <c r="AE17" s="1278">
        <v>17.5</v>
      </c>
    </row>
    <row r="18" spans="1:31" ht="15.75" customHeight="1" thickBot="1" x14ac:dyDescent="0.25">
      <c r="A18" s="1276" t="s">
        <v>283</v>
      </c>
      <c r="B18" s="1242">
        <v>18</v>
      </c>
      <c r="C18" s="1243">
        <v>13.125</v>
      </c>
      <c r="D18" s="1243">
        <v>36</v>
      </c>
      <c r="E18" s="1243">
        <v>11.25</v>
      </c>
      <c r="F18" s="1243">
        <v>13.5</v>
      </c>
      <c r="G18" s="1243">
        <v>15</v>
      </c>
      <c r="H18" s="1243">
        <v>8</v>
      </c>
      <c r="I18" s="1243">
        <v>40.125</v>
      </c>
      <c r="J18" s="1243">
        <v>26.625</v>
      </c>
      <c r="K18" s="1243">
        <v>24.375</v>
      </c>
      <c r="L18" s="1243"/>
      <c r="M18" s="1243"/>
      <c r="N18" s="1244"/>
      <c r="O18" s="1244"/>
      <c r="P18" s="1243"/>
      <c r="Q18" s="1243"/>
      <c r="R18" s="1244"/>
      <c r="S18" s="1243"/>
      <c r="T18" s="2">
        <v>18.4375</v>
      </c>
      <c r="U18" s="1243">
        <v>60.5</v>
      </c>
      <c r="V18" s="1243"/>
      <c r="W18" s="1243">
        <v>30.5</v>
      </c>
      <c r="X18" s="1243">
        <v>5.75</v>
      </c>
      <c r="Y18" s="1243">
        <v>31.375</v>
      </c>
      <c r="Z18" s="1243">
        <v>30.25</v>
      </c>
      <c r="AA18" s="1243"/>
      <c r="AB18" s="1276" t="s">
        <v>283</v>
      </c>
      <c r="AC18" s="1245">
        <v>16</v>
      </c>
      <c r="AD18" s="1246">
        <v>2.75</v>
      </c>
      <c r="AE18" s="1279">
        <v>19.5</v>
      </c>
    </row>
    <row r="19" spans="1:31" ht="15.75" customHeight="1" thickBot="1" x14ac:dyDescent="0.25">
      <c r="A19" s="1276" t="s">
        <v>284</v>
      </c>
      <c r="B19" s="1237">
        <v>20</v>
      </c>
      <c r="C19" s="1238">
        <v>14.25</v>
      </c>
      <c r="D19" s="1238">
        <v>38.75</v>
      </c>
      <c r="E19" s="1238">
        <v>12.5</v>
      </c>
      <c r="F19" s="1238">
        <v>15</v>
      </c>
      <c r="G19" s="1238">
        <v>20</v>
      </c>
      <c r="H19" s="1238">
        <v>9</v>
      </c>
      <c r="I19" s="1238">
        <v>44.25</v>
      </c>
      <c r="J19" s="1238">
        <v>29.25</v>
      </c>
      <c r="K19" s="1238">
        <v>26.75</v>
      </c>
      <c r="L19" s="1238"/>
      <c r="M19" s="1238"/>
      <c r="N19" s="1239"/>
      <c r="O19" s="1239"/>
      <c r="P19" s="1238"/>
      <c r="Q19" s="1238"/>
      <c r="R19" s="1239"/>
      <c r="S19" s="1238"/>
      <c r="T19" s="1238">
        <v>21</v>
      </c>
      <c r="U19" s="1238">
        <v>65.5</v>
      </c>
      <c r="V19" s="1238">
        <v>65.5</v>
      </c>
      <c r="W19" s="1238">
        <v>31.25</v>
      </c>
      <c r="X19" s="1238">
        <v>5.75</v>
      </c>
      <c r="Y19" s="1238">
        <v>31.375</v>
      </c>
      <c r="Z19" s="1238">
        <v>30.25</v>
      </c>
      <c r="AA19" s="1238"/>
      <c r="AB19" s="1276" t="s">
        <v>284</v>
      </c>
      <c r="AC19" s="1240">
        <v>16</v>
      </c>
      <c r="AD19" s="1241">
        <v>3</v>
      </c>
      <c r="AE19" s="1278">
        <v>21.5</v>
      </c>
    </row>
    <row r="20" spans="1:31" ht="15.75" customHeight="1" thickBot="1" x14ac:dyDescent="0.25">
      <c r="A20" s="1276" t="s">
        <v>285</v>
      </c>
      <c r="B20" s="1242">
        <v>24</v>
      </c>
      <c r="C20" s="1243">
        <v>16.25</v>
      </c>
      <c r="D20" s="1243">
        <v>46</v>
      </c>
      <c r="E20" s="1243">
        <v>15</v>
      </c>
      <c r="F20" s="1243">
        <v>17</v>
      </c>
      <c r="G20" s="1243">
        <v>20</v>
      </c>
      <c r="H20" s="1243">
        <v>10.5</v>
      </c>
      <c r="I20" s="1243">
        <v>52.25</v>
      </c>
      <c r="J20" s="1243">
        <v>33.25</v>
      </c>
      <c r="K20" s="1243">
        <v>31.25</v>
      </c>
      <c r="L20" s="1243"/>
      <c r="M20" s="1243"/>
      <c r="N20" s="1244"/>
      <c r="O20" s="1244"/>
      <c r="P20" s="1243"/>
      <c r="Q20" s="1243"/>
      <c r="R20" s="1244"/>
      <c r="S20" s="1243"/>
      <c r="T20" s="1243">
        <v>22</v>
      </c>
      <c r="U20" s="1243">
        <v>76.5</v>
      </c>
      <c r="V20" s="1243">
        <v>76.5</v>
      </c>
      <c r="W20" s="1243">
        <v>37.875</v>
      </c>
      <c r="X20" s="1243">
        <v>16</v>
      </c>
      <c r="Y20" s="1243">
        <v>37.25</v>
      </c>
      <c r="Z20" s="1243">
        <v>30.25</v>
      </c>
      <c r="AA20" s="1243"/>
      <c r="AB20" s="1276" t="s">
        <v>285</v>
      </c>
      <c r="AC20" s="1245">
        <v>16</v>
      </c>
      <c r="AD20" s="1246">
        <v>3.5</v>
      </c>
      <c r="AE20" s="1279">
        <v>24.5</v>
      </c>
    </row>
    <row r="21" spans="1:31" x14ac:dyDescent="0.2">
      <c r="A21" s="1271" t="s">
        <v>831</v>
      </c>
      <c r="E21" s="1341" t="s">
        <v>797</v>
      </c>
      <c r="F21" s="1342"/>
      <c r="G21" s="1343"/>
    </row>
    <row r="22" spans="1:31" x14ac:dyDescent="0.2">
      <c r="A22" t="s">
        <v>798</v>
      </c>
      <c r="E22" s="1327"/>
      <c r="F22" s="1328"/>
      <c r="G22" s="1329"/>
    </row>
    <row r="23" spans="1:31" x14ac:dyDescent="0.2">
      <c r="A23" s="1247" t="s">
        <v>799</v>
      </c>
      <c r="B23" s="1247"/>
      <c r="C23" s="1247"/>
      <c r="D23" s="1247"/>
      <c r="E23" s="1330"/>
      <c r="F23" s="1331"/>
      <c r="G23" s="1332"/>
    </row>
    <row r="24" spans="1:31" x14ac:dyDescent="0.2">
      <c r="A24" s="1247" t="s">
        <v>800</v>
      </c>
      <c r="B24" s="1247"/>
      <c r="C24" s="1247"/>
      <c r="D24" s="1247"/>
    </row>
  </sheetData>
  <mergeCells count="26">
    <mergeCell ref="O3:O4"/>
    <mergeCell ref="P3:R4"/>
    <mergeCell ref="S3:S4"/>
    <mergeCell ref="T3:T4"/>
    <mergeCell ref="E21:G21"/>
    <mergeCell ref="E22:G23"/>
    <mergeCell ref="I3:I4"/>
    <mergeCell ref="J3:J4"/>
    <mergeCell ref="G3:G4"/>
    <mergeCell ref="H3:H4"/>
    <mergeCell ref="A1:AE1"/>
    <mergeCell ref="A2:AB2"/>
    <mergeCell ref="A3:A4"/>
    <mergeCell ref="B3:B4"/>
    <mergeCell ref="C3:C4"/>
    <mergeCell ref="D3:D4"/>
    <mergeCell ref="E3:E4"/>
    <mergeCell ref="F3:F4"/>
    <mergeCell ref="AC3:AC5"/>
    <mergeCell ref="AD3:AE3"/>
    <mergeCell ref="AD4:AD5"/>
    <mergeCell ref="AE4:AE5"/>
    <mergeCell ref="K3:K4"/>
    <mergeCell ref="L3:N4"/>
    <mergeCell ref="U3:AA3"/>
    <mergeCell ref="AB3:AB4"/>
  </mergeCells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progId="AutoCAD-r13" shapeId="43009" r:id="rId3">
          <objectPr defaultSize="0" autoPict="0" r:id="rId4">
            <anchor moveWithCells="1">
              <from>
                <xdr:col>4</xdr:col>
                <xdr:colOff>295275</xdr:colOff>
                <xdr:row>1</xdr:row>
                <xdr:rowOff>28575</xdr:rowOff>
              </from>
              <to>
                <xdr:col>24</xdr:col>
                <xdr:colOff>447675</xdr:colOff>
                <xdr:row>1</xdr:row>
                <xdr:rowOff>2800350</xdr:rowOff>
              </to>
            </anchor>
          </objectPr>
        </oleObject>
      </mc:Choice>
      <mc:Fallback>
        <oleObject progId="AutoCAD-r13" shapeId="43009" r:id="rId3"/>
      </mc:Fallback>
    </mc:AlternateContent>
    <mc:AlternateContent xmlns:mc="http://schemas.openxmlformats.org/markup-compatibility/2006">
      <mc:Choice Requires="x14">
        <oleObject progId="AutoCAD-r13" shapeId="43010" r:id="rId5">
          <objectPr defaultSize="0" autoPict="0" r:id="rId6">
            <anchor moveWithCells="1">
              <from>
                <xdr:col>4</xdr:col>
                <xdr:colOff>219075</xdr:colOff>
                <xdr:row>1</xdr:row>
                <xdr:rowOff>28575</xdr:rowOff>
              </from>
              <to>
                <xdr:col>24</xdr:col>
                <xdr:colOff>361950</xdr:colOff>
                <xdr:row>1</xdr:row>
                <xdr:rowOff>2790825</xdr:rowOff>
              </to>
            </anchor>
          </objectPr>
        </oleObject>
      </mc:Choice>
      <mc:Fallback>
        <oleObject progId="AutoCAD-r13" shapeId="43010" r:id="rId5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G24"/>
  <sheetViews>
    <sheetView zoomScale="62" workbookViewId="0">
      <selection activeCell="B6" sqref="B6:AA20"/>
    </sheetView>
  </sheetViews>
  <sheetFormatPr defaultRowHeight="12.75" x14ac:dyDescent="0.2"/>
  <cols>
    <col min="1" max="1" width="6.5703125" customWidth="1"/>
    <col min="2" max="2" width="7.28515625" customWidth="1"/>
    <col min="3" max="3" width="8" customWidth="1"/>
    <col min="4" max="4" width="7.28515625" customWidth="1"/>
    <col min="5" max="6" width="6.42578125" customWidth="1"/>
    <col min="7" max="7" width="6.85546875" customWidth="1"/>
    <col min="8" max="8" width="6.42578125" customWidth="1"/>
    <col min="10" max="10" width="8.7109375" customWidth="1"/>
    <col min="11" max="11" width="8.42578125" customWidth="1"/>
    <col min="12" max="12" width="7" customWidth="1"/>
    <col min="13" max="13" width="7.28515625" customWidth="1"/>
    <col min="14" max="14" width="3.85546875" customWidth="1"/>
    <col min="15" max="16" width="6.85546875" customWidth="1"/>
    <col min="17" max="17" width="7" customWidth="1"/>
    <col min="18" max="18" width="6.85546875" customWidth="1"/>
    <col min="19" max="19" width="6.7109375" hidden="1" customWidth="1"/>
    <col min="20" max="20" width="7.42578125" hidden="1" customWidth="1"/>
    <col min="21" max="22" width="7" customWidth="1"/>
    <col min="23" max="23" width="8.7109375" customWidth="1"/>
    <col min="24" max="24" width="7.140625" customWidth="1"/>
    <col min="25" max="25" width="8.140625" customWidth="1"/>
    <col min="26" max="26" width="6.85546875" customWidth="1"/>
    <col min="27" max="27" width="3.85546875" customWidth="1"/>
    <col min="28" max="28" width="6.5703125" customWidth="1"/>
    <col min="29" max="29" width="5.7109375" customWidth="1"/>
    <col min="30" max="31" width="6.28515625" customWidth="1"/>
    <col min="32" max="32" width="6" customWidth="1"/>
    <col min="33" max="33" width="7.5703125" customWidth="1"/>
  </cols>
  <sheetData>
    <row r="1" spans="1:33" ht="24.75" customHeight="1" thickTop="1" thickBot="1" x14ac:dyDescent="0.25">
      <c r="A1" s="1360" t="s">
        <v>812</v>
      </c>
      <c r="B1" s="1361"/>
      <c r="C1" s="1361"/>
      <c r="D1" s="1361"/>
      <c r="E1" s="1361"/>
      <c r="F1" s="1361"/>
      <c r="G1" s="1361"/>
      <c r="H1" s="1361"/>
      <c r="I1" s="1361"/>
      <c r="J1" s="1361"/>
      <c r="K1" s="1361"/>
      <c r="L1" s="1361"/>
      <c r="M1" s="1361"/>
      <c r="N1" s="1361"/>
      <c r="O1" s="1361"/>
      <c r="P1" s="1361"/>
      <c r="Q1" s="1361"/>
      <c r="R1" s="1361"/>
      <c r="S1" s="1361"/>
      <c r="T1" s="1361"/>
      <c r="U1" s="1361"/>
      <c r="V1" s="1361"/>
      <c r="W1" s="1361"/>
      <c r="X1" s="1361"/>
      <c r="Y1" s="1361"/>
      <c r="Z1" s="1361"/>
      <c r="AA1" s="1361"/>
      <c r="AB1" s="1361"/>
      <c r="AC1" s="1361"/>
      <c r="AD1" s="1361"/>
      <c r="AE1" s="1361"/>
      <c r="AF1" s="1361"/>
      <c r="AG1" s="1362"/>
    </row>
    <row r="2" spans="1:33" ht="221.25" customHeight="1" thickTop="1" thickBot="1" x14ac:dyDescent="0.25">
      <c r="A2" s="1313"/>
      <c r="B2" s="1314"/>
      <c r="C2" s="1314"/>
      <c r="D2" s="1314"/>
      <c r="E2" s="1314"/>
      <c r="F2" s="1314"/>
      <c r="G2" s="1314"/>
      <c r="H2" s="1314"/>
      <c r="I2" s="1314"/>
      <c r="J2" s="1314"/>
      <c r="K2" s="1314"/>
      <c r="L2" s="1314"/>
      <c r="M2" s="1314"/>
      <c r="N2" s="1314"/>
      <c r="O2" s="1314"/>
      <c r="P2" s="1314"/>
      <c r="Q2" s="1314"/>
      <c r="R2" s="1314"/>
      <c r="S2" s="1314"/>
      <c r="T2" s="1314"/>
      <c r="U2" s="1314"/>
      <c r="V2" s="1314"/>
      <c r="W2" s="1314"/>
      <c r="X2" s="1314"/>
      <c r="Y2" s="1314"/>
      <c r="Z2" s="1314"/>
      <c r="AA2" s="1314"/>
      <c r="AB2" s="1314"/>
      <c r="AE2" s="467"/>
      <c r="AF2" s="467"/>
      <c r="AG2" s="468"/>
    </row>
    <row r="3" spans="1:33" ht="28.5" customHeight="1" thickBot="1" x14ac:dyDescent="0.25">
      <c r="A3" s="1315" t="s">
        <v>753</v>
      </c>
      <c r="B3" s="1315" t="s">
        <v>754</v>
      </c>
      <c r="C3" s="1315" t="s">
        <v>755</v>
      </c>
      <c r="D3" s="1315" t="s">
        <v>756</v>
      </c>
      <c r="E3" s="1315" t="s">
        <v>757</v>
      </c>
      <c r="F3" s="1315" t="s">
        <v>758</v>
      </c>
      <c r="G3" s="1315" t="s">
        <v>759</v>
      </c>
      <c r="H3" s="1315" t="s">
        <v>760</v>
      </c>
      <c r="I3" s="1315" t="s">
        <v>761</v>
      </c>
      <c r="J3" s="1315" t="s">
        <v>762</v>
      </c>
      <c r="K3" s="1315" t="s">
        <v>763</v>
      </c>
      <c r="L3" s="1333" t="s">
        <v>764</v>
      </c>
      <c r="M3" s="1333"/>
      <c r="N3" s="1333"/>
      <c r="O3" s="1315" t="s">
        <v>765</v>
      </c>
      <c r="P3" s="1333" t="s">
        <v>766</v>
      </c>
      <c r="Q3" s="1333"/>
      <c r="R3" s="1333"/>
      <c r="S3" s="1336" t="s">
        <v>802</v>
      </c>
      <c r="T3" s="1336" t="s">
        <v>768</v>
      </c>
      <c r="U3" s="1335" t="s">
        <v>769</v>
      </c>
      <c r="V3" s="1335"/>
      <c r="W3" s="1335"/>
      <c r="X3" s="1335"/>
      <c r="Y3" s="1335"/>
      <c r="Z3" s="1335"/>
      <c r="AA3" s="1335"/>
      <c r="AB3" s="1315" t="s">
        <v>753</v>
      </c>
      <c r="AC3" s="1317" t="s">
        <v>770</v>
      </c>
      <c r="AD3" s="1320" t="s">
        <v>771</v>
      </c>
      <c r="AE3" s="1321"/>
      <c r="AF3" s="1363" t="s">
        <v>813</v>
      </c>
      <c r="AG3" s="1364"/>
    </row>
    <row r="4" spans="1:33" ht="45" customHeight="1" thickBot="1" x14ac:dyDescent="0.25">
      <c r="A4" s="1316"/>
      <c r="B4" s="1316"/>
      <c r="C4" s="1316"/>
      <c r="D4" s="1316"/>
      <c r="E4" s="1316"/>
      <c r="F4" s="1316"/>
      <c r="G4" s="1316"/>
      <c r="H4" s="1316"/>
      <c r="I4" s="1316"/>
      <c r="J4" s="1316"/>
      <c r="K4" s="1316"/>
      <c r="L4" s="1334"/>
      <c r="M4" s="1334"/>
      <c r="N4" s="1334"/>
      <c r="O4" s="1316"/>
      <c r="P4" s="1334"/>
      <c r="Q4" s="1334"/>
      <c r="R4" s="1334"/>
      <c r="S4" s="1337"/>
      <c r="T4" s="1337"/>
      <c r="U4" s="1228" t="s">
        <v>772</v>
      </c>
      <c r="V4" s="1228" t="s">
        <v>773</v>
      </c>
      <c r="W4" s="1228" t="s">
        <v>774</v>
      </c>
      <c r="X4" s="1228" t="s">
        <v>775</v>
      </c>
      <c r="Y4" s="1228" t="s">
        <v>776</v>
      </c>
      <c r="Z4" s="1228" t="s">
        <v>777</v>
      </c>
      <c r="AA4" s="1228" t="s">
        <v>810</v>
      </c>
      <c r="AB4" s="1316"/>
      <c r="AC4" s="1318"/>
      <c r="AD4" s="1322" t="s">
        <v>779</v>
      </c>
      <c r="AE4" s="1322" t="s">
        <v>780</v>
      </c>
      <c r="AF4" s="1365" t="s">
        <v>814</v>
      </c>
      <c r="AG4" s="1317" t="s">
        <v>815</v>
      </c>
    </row>
    <row r="5" spans="1:33" ht="12.75" customHeight="1" thickBot="1" x14ac:dyDescent="0.25">
      <c r="A5" s="1258"/>
      <c r="B5" s="1258"/>
      <c r="C5" s="1259" t="s">
        <v>1872</v>
      </c>
      <c r="D5" s="1259" t="s">
        <v>1873</v>
      </c>
      <c r="E5" s="1259" t="s">
        <v>1779</v>
      </c>
      <c r="F5" s="1259" t="s">
        <v>1769</v>
      </c>
      <c r="G5" s="1259" t="s">
        <v>1876</v>
      </c>
      <c r="H5" s="1259" t="s">
        <v>781</v>
      </c>
      <c r="I5" s="1259" t="s">
        <v>1877</v>
      </c>
      <c r="J5" s="1259" t="s">
        <v>1895</v>
      </c>
      <c r="K5" s="1259" t="s">
        <v>782</v>
      </c>
      <c r="L5" s="1259" t="s">
        <v>1874</v>
      </c>
      <c r="M5" s="1259" t="s">
        <v>783</v>
      </c>
      <c r="N5" s="1259" t="s">
        <v>1894</v>
      </c>
      <c r="O5" s="1259" t="s">
        <v>784</v>
      </c>
      <c r="P5" s="1259" t="s">
        <v>1921</v>
      </c>
      <c r="Q5" s="1259" t="s">
        <v>785</v>
      </c>
      <c r="R5" s="1259" t="s">
        <v>786</v>
      </c>
      <c r="S5" s="1259" t="s">
        <v>658</v>
      </c>
      <c r="T5" s="1259" t="s">
        <v>787</v>
      </c>
      <c r="U5" s="1259" t="s">
        <v>788</v>
      </c>
      <c r="V5" s="1259" t="s">
        <v>1768</v>
      </c>
      <c r="W5" s="1259" t="s">
        <v>1875</v>
      </c>
      <c r="X5" s="1259" t="s">
        <v>789</v>
      </c>
      <c r="Y5" s="1259" t="s">
        <v>790</v>
      </c>
      <c r="Z5" s="1259" t="s">
        <v>791</v>
      </c>
      <c r="AA5" s="1259" t="s">
        <v>792</v>
      </c>
      <c r="AB5" s="1258"/>
      <c r="AC5" s="1319"/>
      <c r="AD5" s="1323"/>
      <c r="AE5" s="1356"/>
      <c r="AF5" s="1323"/>
      <c r="AG5" s="1319"/>
    </row>
    <row r="6" spans="1:33" ht="15.75" customHeight="1" thickBot="1" x14ac:dyDescent="0.25">
      <c r="A6" s="1259" t="s">
        <v>119</v>
      </c>
      <c r="B6" s="1231">
        <v>1.3125</v>
      </c>
      <c r="C6" s="1233">
        <v>3.125</v>
      </c>
      <c r="D6" s="1233">
        <v>5.875</v>
      </c>
      <c r="E6" s="1233" t="s">
        <v>793</v>
      </c>
      <c r="F6" s="1233">
        <v>1.5</v>
      </c>
      <c r="G6" s="1233">
        <v>2</v>
      </c>
      <c r="H6" s="1233">
        <v>1.5</v>
      </c>
      <c r="I6" s="1233">
        <v>4.625</v>
      </c>
      <c r="J6" s="1233">
        <v>4.625</v>
      </c>
      <c r="K6" s="1233">
        <v>4</v>
      </c>
      <c r="L6" s="1233"/>
      <c r="M6" s="1233"/>
      <c r="N6" s="1234"/>
      <c r="O6" s="1234"/>
      <c r="P6" s="1233"/>
      <c r="Q6" s="1233"/>
      <c r="R6" s="1234"/>
      <c r="S6" s="1233"/>
      <c r="T6" s="1233"/>
      <c r="U6" s="1233">
        <v>10</v>
      </c>
      <c r="V6" s="1233"/>
      <c r="W6" s="1232"/>
      <c r="X6" s="1233"/>
      <c r="Y6" s="1234"/>
      <c r="Z6" s="1234"/>
      <c r="AA6" s="1234">
        <v>9</v>
      </c>
      <c r="AB6" s="1259" t="s">
        <v>119</v>
      </c>
      <c r="AC6" s="1235">
        <v>4</v>
      </c>
      <c r="AD6" s="1236">
        <v>0.875</v>
      </c>
      <c r="AE6" s="1260">
        <v>5</v>
      </c>
      <c r="AF6" s="1261" t="s">
        <v>816</v>
      </c>
      <c r="AG6" s="1262">
        <v>0.15625</v>
      </c>
    </row>
    <row r="7" spans="1:33" ht="15.75" customHeight="1" thickBot="1" x14ac:dyDescent="0.25">
      <c r="A7" s="1259" t="s">
        <v>794</v>
      </c>
      <c r="B7" s="1237">
        <v>1.875</v>
      </c>
      <c r="C7" s="1238">
        <v>3.5</v>
      </c>
      <c r="D7" s="1238">
        <v>7</v>
      </c>
      <c r="E7" s="1238">
        <v>1.125</v>
      </c>
      <c r="F7" s="1238">
        <v>2.25</v>
      </c>
      <c r="G7" s="1238">
        <v>2.5</v>
      </c>
      <c r="H7" s="1238">
        <v>1.5</v>
      </c>
      <c r="I7" s="1238">
        <v>5.75</v>
      </c>
      <c r="J7" s="1238">
        <v>5.75</v>
      </c>
      <c r="K7" s="1238">
        <v>4.625</v>
      </c>
      <c r="L7" s="1238"/>
      <c r="M7" s="1238"/>
      <c r="N7" s="1239"/>
      <c r="O7" s="1239"/>
      <c r="P7" s="1238"/>
      <c r="Q7" s="1238"/>
      <c r="R7" s="1239"/>
      <c r="S7" s="1238"/>
      <c r="T7" s="1238"/>
      <c r="U7" s="1238">
        <v>12</v>
      </c>
      <c r="V7" s="1238"/>
      <c r="W7" s="157"/>
      <c r="X7" s="1238"/>
      <c r="Y7" s="1239"/>
      <c r="Z7" s="1239"/>
      <c r="AA7" s="1239">
        <v>15</v>
      </c>
      <c r="AB7" s="1259" t="s">
        <v>794</v>
      </c>
      <c r="AC7" s="1240">
        <v>4</v>
      </c>
      <c r="AD7" s="1256">
        <v>1</v>
      </c>
      <c r="AE7" s="1263">
        <v>5.5</v>
      </c>
      <c r="AF7" s="1264" t="s">
        <v>817</v>
      </c>
      <c r="AG7" s="1265">
        <v>0.15625</v>
      </c>
    </row>
    <row r="8" spans="1:33" ht="15.75" customHeight="1" thickBot="1" x14ac:dyDescent="0.25">
      <c r="A8" s="1259" t="s">
        <v>189</v>
      </c>
      <c r="B8" s="1242">
        <v>2.375</v>
      </c>
      <c r="C8" s="2">
        <v>4.3125</v>
      </c>
      <c r="D8" s="1243">
        <v>8.5</v>
      </c>
      <c r="E8" s="1243">
        <v>1.375</v>
      </c>
      <c r="F8" s="1243">
        <v>2.5</v>
      </c>
      <c r="G8" s="1243">
        <v>3</v>
      </c>
      <c r="H8" s="1243">
        <v>1.5</v>
      </c>
      <c r="I8" s="2">
        <v>7.3125</v>
      </c>
      <c r="J8" s="2">
        <v>6.8125</v>
      </c>
      <c r="K8" s="2">
        <v>5.6875</v>
      </c>
      <c r="L8" s="1243"/>
      <c r="M8" s="1243"/>
      <c r="N8" s="1244"/>
      <c r="O8" s="1243">
        <v>14.625</v>
      </c>
      <c r="P8" s="1243">
        <v>14.5</v>
      </c>
      <c r="Q8" s="1243">
        <v>23</v>
      </c>
      <c r="R8" s="1243">
        <v>13.75</v>
      </c>
      <c r="S8" s="1243"/>
      <c r="T8" s="1243"/>
      <c r="U8" s="1243">
        <v>14.625</v>
      </c>
      <c r="V8" s="1243">
        <v>14.625</v>
      </c>
      <c r="W8" s="2"/>
      <c r="X8" s="1243"/>
      <c r="Y8" s="1244"/>
      <c r="Z8" s="1244"/>
      <c r="AA8" s="1244">
        <v>33</v>
      </c>
      <c r="AB8" s="1259" t="s">
        <v>189</v>
      </c>
      <c r="AC8" s="1245">
        <v>8</v>
      </c>
      <c r="AD8" s="1246">
        <v>0.875</v>
      </c>
      <c r="AE8" s="1266">
        <v>5.75</v>
      </c>
      <c r="AF8" s="1267" t="s">
        <v>818</v>
      </c>
      <c r="AG8" s="1268">
        <v>0.125</v>
      </c>
    </row>
    <row r="9" spans="1:33" ht="15.75" customHeight="1" thickBot="1" x14ac:dyDescent="0.25">
      <c r="A9" s="1259" t="s">
        <v>795</v>
      </c>
      <c r="B9" s="1237">
        <v>2.875</v>
      </c>
      <c r="C9" s="157">
        <v>4.4375</v>
      </c>
      <c r="D9" s="1238">
        <v>9.625</v>
      </c>
      <c r="E9" s="1238">
        <v>1.75</v>
      </c>
      <c r="F9" s="1238">
        <v>3</v>
      </c>
      <c r="G9" s="1238">
        <v>3.5</v>
      </c>
      <c r="H9" s="1238">
        <v>1.5</v>
      </c>
      <c r="I9" s="157">
        <v>8.1875</v>
      </c>
      <c r="J9" s="157">
        <v>7.4375</v>
      </c>
      <c r="K9" s="157">
        <v>6.1875</v>
      </c>
      <c r="L9" s="1238"/>
      <c r="M9" s="1238"/>
      <c r="N9" s="1239"/>
      <c r="O9" s="1238">
        <v>16.625</v>
      </c>
      <c r="P9" s="1238">
        <v>16.5</v>
      </c>
      <c r="Q9" s="1238">
        <v>24.5</v>
      </c>
      <c r="R9" s="1238">
        <v>15.5</v>
      </c>
      <c r="S9" s="1238"/>
      <c r="T9" s="1238"/>
      <c r="U9" s="1238"/>
      <c r="V9" s="1238"/>
      <c r="W9" s="157"/>
      <c r="X9" s="1238"/>
      <c r="Y9" s="1239"/>
      <c r="Z9" s="1239"/>
      <c r="AA9" s="1239"/>
      <c r="AB9" s="1259" t="s">
        <v>795</v>
      </c>
      <c r="AC9" s="1240">
        <v>8</v>
      </c>
      <c r="AD9" s="1256">
        <v>1</v>
      </c>
      <c r="AE9" s="1263">
        <v>6.25</v>
      </c>
      <c r="AF9" s="1264" t="s">
        <v>819</v>
      </c>
      <c r="AG9" s="1265">
        <v>0.125</v>
      </c>
    </row>
    <row r="10" spans="1:33" ht="15.75" customHeight="1" thickBot="1" x14ac:dyDescent="0.25">
      <c r="A10" s="1259" t="s">
        <v>241</v>
      </c>
      <c r="B10" s="1242">
        <v>3.5</v>
      </c>
      <c r="C10" s="2">
        <v>4.3125</v>
      </c>
      <c r="D10" s="1243">
        <v>9.5</v>
      </c>
      <c r="E10" s="1243">
        <v>2</v>
      </c>
      <c r="F10" s="1243">
        <v>3.375</v>
      </c>
      <c r="G10" s="1243">
        <v>3.5</v>
      </c>
      <c r="H10" s="1243">
        <v>2</v>
      </c>
      <c r="I10" s="2">
        <v>8.8125</v>
      </c>
      <c r="J10" s="2">
        <v>7.6875</v>
      </c>
      <c r="K10" s="2">
        <v>6.3125</v>
      </c>
      <c r="L10" s="1243">
        <v>15.125</v>
      </c>
      <c r="M10" s="1243">
        <v>27.25</v>
      </c>
      <c r="N10" s="1244">
        <v>12</v>
      </c>
      <c r="O10" s="1243">
        <v>15.125</v>
      </c>
      <c r="P10" s="1243">
        <v>15.125</v>
      </c>
      <c r="Q10" s="1243">
        <v>24</v>
      </c>
      <c r="R10" s="1244">
        <v>12</v>
      </c>
      <c r="S10" s="1243"/>
      <c r="T10" s="1243"/>
      <c r="U10" s="1243">
        <v>15.125</v>
      </c>
      <c r="V10" s="1243">
        <v>15.125</v>
      </c>
      <c r="W10" s="2">
        <v>7.0625</v>
      </c>
      <c r="X10" s="1243">
        <v>3.125</v>
      </c>
      <c r="Y10" s="2">
        <v>10.0625</v>
      </c>
      <c r="Z10" s="1243">
        <v>17.125</v>
      </c>
      <c r="AA10" s="1244">
        <v>33</v>
      </c>
      <c r="AB10" s="1259" t="s">
        <v>241</v>
      </c>
      <c r="AC10" s="1245">
        <v>8</v>
      </c>
      <c r="AD10" s="1246">
        <v>0.875</v>
      </c>
      <c r="AE10" s="1266">
        <v>6</v>
      </c>
      <c r="AF10" s="1269" t="s">
        <v>820</v>
      </c>
      <c r="AG10" s="1268">
        <v>0.15625</v>
      </c>
    </row>
    <row r="11" spans="1:33" ht="15.75" customHeight="1" thickBot="1" x14ac:dyDescent="0.25">
      <c r="A11" s="1259" t="s">
        <v>253</v>
      </c>
      <c r="B11" s="1237">
        <v>4.5</v>
      </c>
      <c r="C11" s="157">
        <v>4.8125</v>
      </c>
      <c r="D11" s="1238">
        <v>11.5</v>
      </c>
      <c r="E11" s="1238">
        <v>2.5</v>
      </c>
      <c r="F11" s="1238">
        <v>4.125</v>
      </c>
      <c r="G11" s="1238">
        <v>4</v>
      </c>
      <c r="H11" s="1238">
        <v>2.5</v>
      </c>
      <c r="I11" s="157">
        <v>10.8125</v>
      </c>
      <c r="J11" s="157">
        <v>8.9375</v>
      </c>
      <c r="K11" s="157">
        <v>7.3125</v>
      </c>
      <c r="L11" s="1238">
        <v>18.125</v>
      </c>
      <c r="M11" s="1238">
        <v>31.5</v>
      </c>
      <c r="N11" s="1239">
        <v>14</v>
      </c>
      <c r="O11" s="1238">
        <v>18.125</v>
      </c>
      <c r="P11" s="1238">
        <v>18.125</v>
      </c>
      <c r="Q11" s="1238">
        <v>29.5</v>
      </c>
      <c r="R11" s="1239">
        <v>20</v>
      </c>
      <c r="S11" s="1238"/>
      <c r="T11" s="1238"/>
      <c r="U11" s="1238">
        <v>18.125</v>
      </c>
      <c r="V11" s="1238">
        <v>18.125</v>
      </c>
      <c r="W11" s="157">
        <v>9.5625</v>
      </c>
      <c r="X11" s="1238">
        <v>5</v>
      </c>
      <c r="Y11" s="157">
        <v>11.5</v>
      </c>
      <c r="Z11" s="1238">
        <v>24</v>
      </c>
      <c r="AA11" s="1239">
        <v>44</v>
      </c>
      <c r="AB11" s="1259" t="s">
        <v>253</v>
      </c>
      <c r="AC11" s="1240">
        <v>8</v>
      </c>
      <c r="AD11" s="1241">
        <v>1.125</v>
      </c>
      <c r="AE11" s="1263">
        <v>7</v>
      </c>
      <c r="AF11" s="1264" t="s">
        <v>821</v>
      </c>
      <c r="AG11" s="1265">
        <v>0.15625</v>
      </c>
    </row>
    <row r="12" spans="1:33" ht="15.75" customHeight="1" thickBot="1" x14ac:dyDescent="0.25">
      <c r="A12" s="1259" t="s">
        <v>254</v>
      </c>
      <c r="B12" s="1242">
        <v>6.625</v>
      </c>
      <c r="C12" s="2">
        <v>5.8125</v>
      </c>
      <c r="D12" s="1243">
        <v>15</v>
      </c>
      <c r="E12" s="1243">
        <v>3.75</v>
      </c>
      <c r="F12" s="1243">
        <v>5.625</v>
      </c>
      <c r="G12" s="1243">
        <v>5.5</v>
      </c>
      <c r="H12" s="1243">
        <v>3.5</v>
      </c>
      <c r="I12" s="2">
        <v>14.8125</v>
      </c>
      <c r="J12" s="2">
        <v>11.4375</v>
      </c>
      <c r="K12" s="2">
        <v>9.5625</v>
      </c>
      <c r="L12" s="1243">
        <v>24.125</v>
      </c>
      <c r="M12" s="1243">
        <v>42.75</v>
      </c>
      <c r="N12" s="1244">
        <v>20</v>
      </c>
      <c r="O12" s="1243">
        <v>24.125</v>
      </c>
      <c r="P12" s="1243">
        <v>24.125</v>
      </c>
      <c r="Q12" s="1243">
        <v>37.75</v>
      </c>
      <c r="R12" s="1244">
        <v>27</v>
      </c>
      <c r="S12" s="1243"/>
      <c r="T12" s="1243"/>
      <c r="U12" s="1243">
        <v>24.125</v>
      </c>
      <c r="V12" s="1243">
        <v>24.125</v>
      </c>
      <c r="W12" s="2">
        <v>10.8125</v>
      </c>
      <c r="X12" s="1243">
        <v>5</v>
      </c>
      <c r="Y12" s="2">
        <v>11.5</v>
      </c>
      <c r="Z12" s="1243">
        <v>24</v>
      </c>
      <c r="AA12" s="1243"/>
      <c r="AB12" s="1259" t="s">
        <v>254</v>
      </c>
      <c r="AC12" s="1245">
        <v>12</v>
      </c>
      <c r="AD12" s="1246">
        <v>1.125</v>
      </c>
      <c r="AE12" s="1266">
        <v>7.75</v>
      </c>
      <c r="AF12" s="1269" t="s">
        <v>822</v>
      </c>
      <c r="AG12" s="1268">
        <v>0.15625</v>
      </c>
    </row>
    <row r="13" spans="1:33" ht="15.75" customHeight="1" thickBot="1" x14ac:dyDescent="0.25">
      <c r="A13" s="1259" t="s">
        <v>278</v>
      </c>
      <c r="B13" s="1237">
        <v>8.625</v>
      </c>
      <c r="C13" s="157">
        <v>6.6875</v>
      </c>
      <c r="D13" s="1238">
        <v>18.5</v>
      </c>
      <c r="E13" s="1238">
        <v>5</v>
      </c>
      <c r="F13" s="1238">
        <v>7</v>
      </c>
      <c r="G13" s="1238">
        <v>6</v>
      </c>
      <c r="H13" s="1238">
        <v>4</v>
      </c>
      <c r="I13" s="157">
        <v>18.6875</v>
      </c>
      <c r="J13" s="157">
        <v>13.6875</v>
      </c>
      <c r="K13" s="157">
        <v>11.6875</v>
      </c>
      <c r="L13" s="1238">
        <v>29.125</v>
      </c>
      <c r="M13" s="1238">
        <v>52.5</v>
      </c>
      <c r="N13" s="1239">
        <v>24</v>
      </c>
      <c r="O13" s="1238">
        <v>29.125</v>
      </c>
      <c r="P13" s="1238"/>
      <c r="Q13" s="1238"/>
      <c r="R13" s="1239"/>
      <c r="S13" s="1238"/>
      <c r="T13" s="1238"/>
      <c r="U13" s="1238">
        <v>29.125</v>
      </c>
      <c r="V13" s="1238">
        <v>29.125</v>
      </c>
      <c r="W13" s="157">
        <v>16</v>
      </c>
      <c r="X13" s="157">
        <v>3.6875</v>
      </c>
      <c r="Y13" s="157">
        <v>18.9375</v>
      </c>
      <c r="Z13" s="1238">
        <v>30.25</v>
      </c>
      <c r="AA13" s="1238"/>
      <c r="AB13" s="1259" t="s">
        <v>278</v>
      </c>
      <c r="AC13" s="1240">
        <v>12</v>
      </c>
      <c r="AD13" s="1241">
        <v>1.375</v>
      </c>
      <c r="AE13" s="1263">
        <v>9</v>
      </c>
      <c r="AF13" s="1270" t="s">
        <v>823</v>
      </c>
      <c r="AG13" s="1265">
        <v>0.15625</v>
      </c>
    </row>
    <row r="14" spans="1:33" ht="15.75" customHeight="1" thickBot="1" x14ac:dyDescent="0.25">
      <c r="A14" s="1259" t="s">
        <v>279</v>
      </c>
      <c r="B14" s="1242">
        <v>10.75</v>
      </c>
      <c r="C14" s="2">
        <v>7.5625</v>
      </c>
      <c r="D14" s="1243">
        <v>21.5</v>
      </c>
      <c r="E14" s="1243">
        <v>6.25</v>
      </c>
      <c r="F14" s="1243">
        <v>8.5</v>
      </c>
      <c r="G14" s="1243">
        <v>7</v>
      </c>
      <c r="H14" s="1243">
        <v>5</v>
      </c>
      <c r="I14" s="2">
        <v>22.5625</v>
      </c>
      <c r="J14" s="2">
        <v>16.0625</v>
      </c>
      <c r="K14" s="2">
        <v>13.8125</v>
      </c>
      <c r="L14" s="1243">
        <v>33.125</v>
      </c>
      <c r="M14" s="1243">
        <v>62.25</v>
      </c>
      <c r="N14" s="1244">
        <v>27</v>
      </c>
      <c r="O14" s="1244"/>
      <c r="P14" s="1243"/>
      <c r="Q14" s="1243"/>
      <c r="R14" s="1244"/>
      <c r="S14" s="1243"/>
      <c r="T14" s="1243"/>
      <c r="U14" s="1243">
        <v>33.125</v>
      </c>
      <c r="V14" s="1243">
        <v>33.125</v>
      </c>
      <c r="W14" s="2">
        <v>15.625</v>
      </c>
      <c r="X14" s="2">
        <v>3.6875</v>
      </c>
      <c r="Y14" s="2">
        <v>18.9375</v>
      </c>
      <c r="Z14" s="1243">
        <v>30.25</v>
      </c>
      <c r="AA14" s="1243"/>
      <c r="AB14" s="1259" t="s">
        <v>279</v>
      </c>
      <c r="AC14" s="1245">
        <v>16</v>
      </c>
      <c r="AD14" s="1246">
        <v>1.375</v>
      </c>
      <c r="AE14" s="1266">
        <v>9.5</v>
      </c>
      <c r="AF14" s="1269" t="s">
        <v>824</v>
      </c>
      <c r="AG14" s="1268">
        <v>0.15625</v>
      </c>
    </row>
    <row r="15" spans="1:33" ht="15.75" customHeight="1" thickBot="1" x14ac:dyDescent="0.25">
      <c r="A15" s="1259" t="s">
        <v>280</v>
      </c>
      <c r="B15" s="1237">
        <v>12.75</v>
      </c>
      <c r="C15" s="157">
        <v>8.1875</v>
      </c>
      <c r="D15" s="1238">
        <v>24</v>
      </c>
      <c r="E15" s="1238">
        <v>7.5</v>
      </c>
      <c r="F15" s="1238">
        <v>10</v>
      </c>
      <c r="G15" s="1238">
        <v>8</v>
      </c>
      <c r="H15" s="1238">
        <v>6</v>
      </c>
      <c r="I15" s="157">
        <v>26.1875</v>
      </c>
      <c r="J15" s="157">
        <v>18.1875</v>
      </c>
      <c r="K15" s="157">
        <v>15.6875</v>
      </c>
      <c r="L15" s="1238">
        <v>38.125</v>
      </c>
      <c r="M15" s="1238">
        <v>73.5</v>
      </c>
      <c r="N15" s="1239">
        <v>30</v>
      </c>
      <c r="O15" s="1239"/>
      <c r="P15" s="1238"/>
      <c r="Q15" s="1238"/>
      <c r="R15" s="1239"/>
      <c r="S15" s="1238"/>
      <c r="T15" s="1238"/>
      <c r="U15" s="1238">
        <v>38.125</v>
      </c>
      <c r="V15" s="1238">
        <v>38.125</v>
      </c>
      <c r="W15" s="1238">
        <v>18.375</v>
      </c>
      <c r="X15" s="157">
        <v>3.6875</v>
      </c>
      <c r="Y15" s="157">
        <v>18.9375</v>
      </c>
      <c r="Z15" s="1238">
        <v>30.25</v>
      </c>
      <c r="AA15" s="1238"/>
      <c r="AB15" s="1259" t="s">
        <v>280</v>
      </c>
      <c r="AC15" s="1240">
        <v>20</v>
      </c>
      <c r="AD15" s="1241">
        <v>1.375</v>
      </c>
      <c r="AE15" s="1263">
        <v>10.25</v>
      </c>
      <c r="AF15" s="1264" t="s">
        <v>825</v>
      </c>
      <c r="AG15" s="1265">
        <v>0.15625</v>
      </c>
    </row>
    <row r="16" spans="1:33" ht="15.75" customHeight="1" thickBot="1" x14ac:dyDescent="0.25">
      <c r="A16" s="1259" t="s">
        <v>281</v>
      </c>
      <c r="B16" s="1242">
        <v>14</v>
      </c>
      <c r="C16" s="2">
        <v>8.8125</v>
      </c>
      <c r="D16" s="1243">
        <v>25.25</v>
      </c>
      <c r="E16" s="1243">
        <v>8.75</v>
      </c>
      <c r="F16" s="1243">
        <v>11</v>
      </c>
      <c r="G16" s="1243">
        <v>13</v>
      </c>
      <c r="H16" s="1243">
        <v>6.5</v>
      </c>
      <c r="I16" s="2">
        <v>29.8125</v>
      </c>
      <c r="J16" s="2">
        <v>19.8125</v>
      </c>
      <c r="K16" s="2">
        <v>17.5625</v>
      </c>
      <c r="L16" s="1243">
        <v>40.625</v>
      </c>
      <c r="M16" s="1243">
        <v>77.25</v>
      </c>
      <c r="N16" s="1244">
        <v>30</v>
      </c>
      <c r="O16" s="1244"/>
      <c r="P16" s="1243"/>
      <c r="Q16" s="1243"/>
      <c r="R16" s="1244"/>
      <c r="S16" s="1243"/>
      <c r="T16" s="1243"/>
      <c r="U16" s="1243">
        <v>40.875</v>
      </c>
      <c r="V16" s="1243">
        <v>40.875</v>
      </c>
      <c r="W16" s="2">
        <v>21.5</v>
      </c>
      <c r="X16" s="1243">
        <v>4.875</v>
      </c>
      <c r="Y16" s="1243">
        <v>21.5</v>
      </c>
      <c r="Z16" s="1243">
        <v>39</v>
      </c>
      <c r="AA16" s="1243"/>
      <c r="AB16" s="1259" t="s">
        <v>281</v>
      </c>
      <c r="AC16" s="1245">
        <v>20</v>
      </c>
      <c r="AD16" s="1246">
        <v>1.5</v>
      </c>
      <c r="AE16" s="1266">
        <v>11.25</v>
      </c>
      <c r="AF16" s="1269" t="s">
        <v>826</v>
      </c>
      <c r="AG16" s="1268">
        <v>0.15625</v>
      </c>
    </row>
    <row r="17" spans="1:33" ht="15.75" customHeight="1" thickBot="1" x14ac:dyDescent="0.25">
      <c r="A17" s="1259" t="s">
        <v>282</v>
      </c>
      <c r="B17" s="1237">
        <v>16</v>
      </c>
      <c r="C17" s="157">
        <v>8.9375</v>
      </c>
      <c r="D17" s="1238">
        <v>27.75</v>
      </c>
      <c r="E17" s="1238">
        <v>10</v>
      </c>
      <c r="F17" s="1238">
        <v>12</v>
      </c>
      <c r="G17" s="1238">
        <v>14</v>
      </c>
      <c r="H17" s="1238">
        <v>7</v>
      </c>
      <c r="I17" s="157">
        <v>32.9375</v>
      </c>
      <c r="J17" s="157">
        <v>20.9375</v>
      </c>
      <c r="K17" s="157">
        <v>18.9375</v>
      </c>
      <c r="L17" s="1238">
        <v>44.625</v>
      </c>
      <c r="M17" s="1238">
        <v>85.75</v>
      </c>
      <c r="N17" s="1239">
        <v>36</v>
      </c>
      <c r="O17" s="1239"/>
      <c r="P17" s="1238"/>
      <c r="Q17" s="1238"/>
      <c r="R17" s="1239"/>
      <c r="S17" s="1238"/>
      <c r="T17" s="1238"/>
      <c r="U17" s="1238">
        <v>44.5</v>
      </c>
      <c r="V17" s="1238">
        <v>44.5</v>
      </c>
      <c r="W17" s="157">
        <v>20.0625</v>
      </c>
      <c r="X17" s="1238">
        <v>4.875</v>
      </c>
      <c r="Y17" s="1238">
        <v>21.5</v>
      </c>
      <c r="Z17" s="1238">
        <v>39</v>
      </c>
      <c r="AA17" s="1238"/>
      <c r="AB17" s="1259" t="s">
        <v>282</v>
      </c>
      <c r="AC17" s="1240">
        <v>20</v>
      </c>
      <c r="AD17" s="1241">
        <v>1.625</v>
      </c>
      <c r="AE17" s="1263">
        <v>11.75</v>
      </c>
      <c r="AF17" s="1264" t="s">
        <v>827</v>
      </c>
      <c r="AG17" s="1265">
        <v>0.15625</v>
      </c>
    </row>
    <row r="18" spans="1:33" ht="15.75" customHeight="1" thickBot="1" x14ac:dyDescent="0.25">
      <c r="A18" s="1259" t="s">
        <v>283</v>
      </c>
      <c r="B18" s="1242">
        <v>18</v>
      </c>
      <c r="C18" s="1243"/>
      <c r="D18" s="1243"/>
      <c r="E18" s="1243">
        <v>11.25</v>
      </c>
      <c r="F18" s="1243">
        <v>13.5</v>
      </c>
      <c r="G18" s="1243">
        <v>15</v>
      </c>
      <c r="H18" s="1243">
        <v>8</v>
      </c>
      <c r="I18" s="1243">
        <v>36.5</v>
      </c>
      <c r="J18" s="1243">
        <v>23</v>
      </c>
      <c r="K18" s="1243">
        <v>20.75</v>
      </c>
      <c r="L18" s="1243"/>
      <c r="M18" s="1243"/>
      <c r="N18" s="1244"/>
      <c r="O18" s="1244"/>
      <c r="P18" s="1243"/>
      <c r="Q18" s="1243"/>
      <c r="R18" s="1244"/>
      <c r="S18" s="1243"/>
      <c r="T18" s="1243"/>
      <c r="U18" s="1243">
        <v>48.5</v>
      </c>
      <c r="V18" s="1243"/>
      <c r="W18" s="2">
        <v>25.8125</v>
      </c>
      <c r="X18" s="1243">
        <v>9.75</v>
      </c>
      <c r="Y18" s="1243">
        <v>29</v>
      </c>
      <c r="Z18" s="1243">
        <v>30.25</v>
      </c>
      <c r="AA18" s="1243"/>
      <c r="AB18" s="1259" t="s">
        <v>283</v>
      </c>
      <c r="AC18" s="1245">
        <v>20</v>
      </c>
      <c r="AD18" s="1246">
        <v>1.875</v>
      </c>
      <c r="AE18" s="1266">
        <v>13.5</v>
      </c>
      <c r="AF18" s="1269" t="s">
        <v>828</v>
      </c>
      <c r="AG18" s="1268">
        <v>0.1875</v>
      </c>
    </row>
    <row r="19" spans="1:33" ht="15.75" customHeight="1" thickBot="1" x14ac:dyDescent="0.25">
      <c r="A19" s="1259" t="s">
        <v>284</v>
      </c>
      <c r="B19" s="1237">
        <v>20</v>
      </c>
      <c r="C19" s="1238">
        <v>10.25</v>
      </c>
      <c r="D19" s="1238">
        <v>33.75</v>
      </c>
      <c r="E19" s="1238">
        <v>12.5</v>
      </c>
      <c r="F19" s="1238">
        <v>15</v>
      </c>
      <c r="G19" s="1238">
        <v>20</v>
      </c>
      <c r="H19" s="1238">
        <v>9</v>
      </c>
      <c r="I19" s="1238">
        <v>40.25</v>
      </c>
      <c r="J19" s="1238">
        <v>25.25</v>
      </c>
      <c r="K19" s="1238">
        <v>22.75</v>
      </c>
      <c r="L19" s="1238"/>
      <c r="M19" s="1238"/>
      <c r="N19" s="1239"/>
      <c r="O19" s="1239"/>
      <c r="P19" s="1238"/>
      <c r="Q19" s="1238"/>
      <c r="R19" s="1239"/>
      <c r="S19" s="1238"/>
      <c r="T19" s="1238"/>
      <c r="U19" s="1238">
        <v>52.5</v>
      </c>
      <c r="V19" s="1238">
        <v>52.5</v>
      </c>
      <c r="W19" s="1238">
        <v>28.875</v>
      </c>
      <c r="X19" s="1238">
        <v>5.75</v>
      </c>
      <c r="Y19" s="1238">
        <v>31.375</v>
      </c>
      <c r="Z19" s="1238">
        <v>30.25</v>
      </c>
      <c r="AA19" s="1238"/>
      <c r="AB19" s="1259" t="s">
        <v>284</v>
      </c>
      <c r="AC19" s="1240">
        <v>20</v>
      </c>
      <c r="AD19" s="1256">
        <v>2</v>
      </c>
      <c r="AE19" s="1263">
        <v>14.25</v>
      </c>
      <c r="AF19" s="1264" t="s">
        <v>829</v>
      </c>
      <c r="AG19" s="1265">
        <v>0.1875</v>
      </c>
    </row>
    <row r="20" spans="1:33" ht="15.75" customHeight="1" thickBot="1" x14ac:dyDescent="0.25">
      <c r="A20" s="1259" t="s">
        <v>285</v>
      </c>
      <c r="B20" s="1242">
        <v>24</v>
      </c>
      <c r="C20" s="1243">
        <v>12.125</v>
      </c>
      <c r="D20" s="1243">
        <v>41</v>
      </c>
      <c r="E20" s="1243">
        <v>15</v>
      </c>
      <c r="F20" s="1243">
        <v>17</v>
      </c>
      <c r="G20" s="1243">
        <v>20</v>
      </c>
      <c r="H20" s="1243">
        <v>10.5</v>
      </c>
      <c r="I20" s="1243">
        <v>48.125</v>
      </c>
      <c r="J20" s="1243">
        <v>29.125</v>
      </c>
      <c r="K20" s="1243">
        <v>27.125</v>
      </c>
      <c r="L20" s="1243"/>
      <c r="M20" s="1243"/>
      <c r="N20" s="1244"/>
      <c r="O20" s="1244"/>
      <c r="P20" s="1243"/>
      <c r="Q20" s="1243"/>
      <c r="R20" s="1244"/>
      <c r="S20" s="1243"/>
      <c r="T20" s="1243"/>
      <c r="U20" s="1243">
        <v>61.75</v>
      </c>
      <c r="V20" s="1243">
        <v>61.75</v>
      </c>
      <c r="W20" s="2">
        <v>30.9375</v>
      </c>
      <c r="X20" s="1243">
        <v>5.75</v>
      </c>
      <c r="Y20" s="1243">
        <v>31.375</v>
      </c>
      <c r="Z20" s="1243">
        <v>30.25</v>
      </c>
      <c r="AA20" s="1243"/>
      <c r="AB20" s="1259" t="s">
        <v>285</v>
      </c>
      <c r="AC20" s="1245">
        <v>20</v>
      </c>
      <c r="AD20" s="1246">
        <v>2.5</v>
      </c>
      <c r="AE20" s="1266">
        <v>17.75</v>
      </c>
      <c r="AF20" s="1269" t="s">
        <v>830</v>
      </c>
      <c r="AG20" s="1268">
        <v>0.21875</v>
      </c>
    </row>
    <row r="21" spans="1:33" x14ac:dyDescent="0.2">
      <c r="A21" s="1271" t="s">
        <v>831</v>
      </c>
      <c r="E21" s="1341" t="s">
        <v>797</v>
      </c>
      <c r="F21" s="1342"/>
      <c r="G21" s="1343"/>
    </row>
    <row r="22" spans="1:33" x14ac:dyDescent="0.2">
      <c r="A22" s="1271" t="s">
        <v>832</v>
      </c>
      <c r="E22" s="1327"/>
      <c r="F22" s="1328"/>
      <c r="G22" s="1329"/>
    </row>
    <row r="23" spans="1:33" x14ac:dyDescent="0.2">
      <c r="A23" s="1247" t="s">
        <v>799</v>
      </c>
      <c r="B23" s="1247"/>
      <c r="C23" s="1247"/>
      <c r="D23" s="1247"/>
      <c r="E23" s="1330"/>
      <c r="F23" s="1331"/>
      <c r="G23" s="1332"/>
    </row>
    <row r="24" spans="1:33" x14ac:dyDescent="0.2">
      <c r="A24" s="1247" t="s">
        <v>800</v>
      </c>
      <c r="B24" s="1247"/>
      <c r="C24" s="1247"/>
      <c r="D24" s="1247"/>
    </row>
  </sheetData>
  <mergeCells count="29">
    <mergeCell ref="U3:AA3"/>
    <mergeCell ref="AB3:AB4"/>
    <mergeCell ref="AC3:AC5"/>
    <mergeCell ref="AF3:AG3"/>
    <mergeCell ref="AD4:AD5"/>
    <mergeCell ref="AE4:AE5"/>
    <mergeCell ref="AF4:AF5"/>
    <mergeCell ref="AG4:AG5"/>
    <mergeCell ref="J3:J4"/>
    <mergeCell ref="K3:K4"/>
    <mergeCell ref="L3:N4"/>
    <mergeCell ref="E21:G21"/>
    <mergeCell ref="E22:G23"/>
    <mergeCell ref="A1:AG1"/>
    <mergeCell ref="A2:AB2"/>
    <mergeCell ref="A3:A4"/>
    <mergeCell ref="B3:B4"/>
    <mergeCell ref="C3:C4"/>
    <mergeCell ref="D3:D4"/>
    <mergeCell ref="E3:E4"/>
    <mergeCell ref="F3:F4"/>
    <mergeCell ref="G3:G4"/>
    <mergeCell ref="H3:H4"/>
    <mergeCell ref="AD3:AE3"/>
    <mergeCell ref="O3:O4"/>
    <mergeCell ref="P3:R4"/>
    <mergeCell ref="S3:S4"/>
    <mergeCell ref="T3:T4"/>
    <mergeCell ref="I3:I4"/>
  </mergeCells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progId="AutoCAD-r13" shapeId="40961" r:id="rId3">
          <objectPr defaultSize="0" autoPict="0" r:id="rId4">
            <anchor moveWithCells="1">
              <from>
                <xdr:col>4</xdr:col>
                <xdr:colOff>295275</xdr:colOff>
                <xdr:row>1</xdr:row>
                <xdr:rowOff>28575</xdr:rowOff>
              </from>
              <to>
                <xdr:col>25</xdr:col>
                <xdr:colOff>447675</xdr:colOff>
                <xdr:row>1</xdr:row>
                <xdr:rowOff>2800350</xdr:rowOff>
              </to>
            </anchor>
          </objectPr>
        </oleObject>
      </mc:Choice>
      <mc:Fallback>
        <oleObject progId="AutoCAD-r13" shapeId="40961" r:id="rId3"/>
      </mc:Fallback>
    </mc:AlternateContent>
    <mc:AlternateContent xmlns:mc="http://schemas.openxmlformats.org/markup-compatibility/2006">
      <mc:Choice Requires="x14">
        <oleObject progId="AutoCAD-r13" shapeId="40962" r:id="rId5">
          <objectPr defaultSize="0" autoPict="0" r:id="rId6">
            <anchor moveWithCells="1">
              <from>
                <xdr:col>4</xdr:col>
                <xdr:colOff>219075</xdr:colOff>
                <xdr:row>1</xdr:row>
                <xdr:rowOff>28575</xdr:rowOff>
              </from>
              <to>
                <xdr:col>25</xdr:col>
                <xdr:colOff>361950</xdr:colOff>
                <xdr:row>1</xdr:row>
                <xdr:rowOff>2790825</xdr:rowOff>
              </to>
            </anchor>
          </objectPr>
        </oleObject>
      </mc:Choice>
      <mc:Fallback>
        <oleObject progId="AutoCAD-r13" shapeId="40962" r:id="rId5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G25"/>
  <sheetViews>
    <sheetView zoomScale="62" workbookViewId="0">
      <selection activeCell="B6" sqref="B6:AA20"/>
    </sheetView>
  </sheetViews>
  <sheetFormatPr defaultRowHeight="12.75" x14ac:dyDescent="0.2"/>
  <cols>
    <col min="1" max="1" width="6.5703125" customWidth="1"/>
    <col min="2" max="2" width="7.28515625" customWidth="1"/>
    <col min="3" max="3" width="8.7109375" customWidth="1"/>
    <col min="4" max="4" width="7.28515625" customWidth="1"/>
    <col min="5" max="6" width="6.42578125" customWidth="1"/>
    <col min="7" max="7" width="6.85546875" customWidth="1"/>
    <col min="8" max="8" width="6.42578125" customWidth="1"/>
    <col min="10" max="10" width="8.7109375" customWidth="1"/>
    <col min="11" max="11" width="8.85546875" customWidth="1"/>
    <col min="12" max="12" width="7" customWidth="1"/>
    <col min="13" max="13" width="7.28515625" customWidth="1"/>
    <col min="14" max="14" width="3.85546875" customWidth="1"/>
    <col min="15" max="15" width="7" customWidth="1"/>
    <col min="16" max="16" width="6.42578125" customWidth="1"/>
    <col min="17" max="17" width="6.85546875" customWidth="1"/>
    <col min="18" max="18" width="3.85546875" customWidth="1"/>
    <col min="19" max="19" width="8.140625" hidden="1" customWidth="1"/>
    <col min="20" max="20" width="7.7109375" hidden="1" customWidth="1"/>
    <col min="21" max="22" width="7.28515625" customWidth="1"/>
    <col min="23" max="23" width="8.7109375" customWidth="1"/>
    <col min="24" max="24" width="7.140625" customWidth="1"/>
    <col min="25" max="25" width="8.140625" customWidth="1"/>
    <col min="26" max="26" width="6.85546875" customWidth="1"/>
    <col min="27" max="27" width="3.85546875" customWidth="1"/>
    <col min="28" max="28" width="6.5703125" customWidth="1"/>
    <col min="29" max="29" width="5.7109375" customWidth="1"/>
    <col min="30" max="30" width="6" customWidth="1"/>
    <col min="31" max="31" width="6.85546875" customWidth="1"/>
    <col min="32" max="32" width="6.7109375" customWidth="1"/>
    <col min="33" max="33" width="6.85546875" customWidth="1"/>
  </cols>
  <sheetData>
    <row r="1" spans="1:33" ht="26.25" customHeight="1" thickBot="1" x14ac:dyDescent="0.25">
      <c r="A1" s="1366" t="s">
        <v>833</v>
      </c>
      <c r="B1" s="1367"/>
      <c r="C1" s="1367"/>
      <c r="D1" s="1367"/>
      <c r="E1" s="1367"/>
      <c r="F1" s="1367"/>
      <c r="G1" s="1367"/>
      <c r="H1" s="1367"/>
      <c r="I1" s="1367"/>
      <c r="J1" s="1367"/>
      <c r="K1" s="1367"/>
      <c r="L1" s="1367"/>
      <c r="M1" s="1367"/>
      <c r="N1" s="1367"/>
      <c r="O1" s="1367"/>
      <c r="P1" s="1367"/>
      <c r="Q1" s="1367"/>
      <c r="R1" s="1367"/>
      <c r="S1" s="1367"/>
      <c r="T1" s="1367"/>
      <c r="U1" s="1367"/>
      <c r="V1" s="1367"/>
      <c r="W1" s="1367"/>
      <c r="X1" s="1367"/>
      <c r="Y1" s="1367"/>
      <c r="Z1" s="1367"/>
      <c r="AA1" s="1367"/>
      <c r="AB1" s="1367"/>
      <c r="AC1" s="1367"/>
      <c r="AD1" s="1367"/>
      <c r="AE1" s="1367"/>
      <c r="AF1" s="1367"/>
      <c r="AG1" s="1368"/>
    </row>
    <row r="2" spans="1:33" ht="221.25" customHeight="1" thickTop="1" thickBot="1" x14ac:dyDescent="0.25">
      <c r="A2" s="1313"/>
      <c r="B2" s="1314"/>
      <c r="C2" s="1314"/>
      <c r="D2" s="1314"/>
      <c r="E2" s="1314"/>
      <c r="F2" s="1314"/>
      <c r="G2" s="1314"/>
      <c r="H2" s="1314"/>
      <c r="I2" s="1314"/>
      <c r="J2" s="1314"/>
      <c r="K2" s="1314"/>
      <c r="L2" s="1314"/>
      <c r="M2" s="1314"/>
      <c r="N2" s="1314"/>
      <c r="O2" s="1314"/>
      <c r="P2" s="1314"/>
      <c r="Q2" s="1314"/>
      <c r="R2" s="1314"/>
      <c r="S2" s="1314"/>
      <c r="T2" s="1314"/>
      <c r="U2" s="1314"/>
      <c r="V2" s="1314"/>
      <c r="W2" s="1314"/>
      <c r="X2" s="1314"/>
      <c r="Y2" s="1314"/>
      <c r="Z2" s="1314"/>
      <c r="AA2" s="1314"/>
      <c r="AB2" s="1314"/>
      <c r="AE2" s="467"/>
      <c r="AF2" s="1251"/>
      <c r="AG2" s="1272"/>
    </row>
    <row r="3" spans="1:33" ht="28.5" customHeight="1" thickBot="1" x14ac:dyDescent="0.25">
      <c r="A3" s="1315" t="s">
        <v>753</v>
      </c>
      <c r="B3" s="1315" t="s">
        <v>754</v>
      </c>
      <c r="C3" s="1315" t="s">
        <v>755</v>
      </c>
      <c r="D3" s="1315" t="s">
        <v>756</v>
      </c>
      <c r="E3" s="1315" t="s">
        <v>757</v>
      </c>
      <c r="F3" s="1315" t="s">
        <v>758</v>
      </c>
      <c r="G3" s="1315" t="s">
        <v>759</v>
      </c>
      <c r="H3" s="1315" t="s">
        <v>760</v>
      </c>
      <c r="I3" s="1315" t="s">
        <v>761</v>
      </c>
      <c r="J3" s="1315" t="s">
        <v>762</v>
      </c>
      <c r="K3" s="1315" t="s">
        <v>763</v>
      </c>
      <c r="L3" s="1333" t="s">
        <v>764</v>
      </c>
      <c r="M3" s="1333"/>
      <c r="N3" s="1333"/>
      <c r="O3" s="1315" t="s">
        <v>765</v>
      </c>
      <c r="P3" s="1333" t="s">
        <v>766</v>
      </c>
      <c r="Q3" s="1333"/>
      <c r="R3" s="1333"/>
      <c r="S3" s="1336" t="s">
        <v>802</v>
      </c>
      <c r="T3" s="1336" t="s">
        <v>768</v>
      </c>
      <c r="U3" s="1335" t="s">
        <v>769</v>
      </c>
      <c r="V3" s="1335"/>
      <c r="W3" s="1335"/>
      <c r="X3" s="1335"/>
      <c r="Y3" s="1335"/>
      <c r="Z3" s="1335"/>
      <c r="AA3" s="1335"/>
      <c r="AB3" s="1315" t="s">
        <v>753</v>
      </c>
      <c r="AC3" s="1317" t="s">
        <v>770</v>
      </c>
      <c r="AD3" s="1320" t="s">
        <v>771</v>
      </c>
      <c r="AE3" s="1321"/>
      <c r="AF3" s="1363" t="s">
        <v>813</v>
      </c>
      <c r="AG3" s="1364"/>
    </row>
    <row r="4" spans="1:33" ht="45" customHeight="1" thickBot="1" x14ac:dyDescent="0.25">
      <c r="A4" s="1316"/>
      <c r="B4" s="1316"/>
      <c r="C4" s="1316"/>
      <c r="D4" s="1316"/>
      <c r="E4" s="1316"/>
      <c r="F4" s="1316"/>
      <c r="G4" s="1316"/>
      <c r="H4" s="1316"/>
      <c r="I4" s="1316"/>
      <c r="J4" s="1316"/>
      <c r="K4" s="1316"/>
      <c r="L4" s="1334"/>
      <c r="M4" s="1334"/>
      <c r="N4" s="1334"/>
      <c r="O4" s="1316"/>
      <c r="P4" s="1334"/>
      <c r="Q4" s="1334"/>
      <c r="R4" s="1334"/>
      <c r="S4" s="1337"/>
      <c r="T4" s="1337"/>
      <c r="U4" s="1228" t="s">
        <v>772</v>
      </c>
      <c r="V4" s="1228" t="s">
        <v>773</v>
      </c>
      <c r="W4" s="1228" t="s">
        <v>774</v>
      </c>
      <c r="X4" s="1228" t="s">
        <v>775</v>
      </c>
      <c r="Y4" s="1228" t="s">
        <v>776</v>
      </c>
      <c r="Z4" s="1228" t="s">
        <v>777</v>
      </c>
      <c r="AA4" s="1228" t="s">
        <v>810</v>
      </c>
      <c r="AB4" s="1316"/>
      <c r="AC4" s="1318"/>
      <c r="AD4" s="1322" t="s">
        <v>779</v>
      </c>
      <c r="AE4" s="1322" t="s">
        <v>780</v>
      </c>
      <c r="AF4" s="1365" t="s">
        <v>814</v>
      </c>
      <c r="AG4" s="1317" t="s">
        <v>815</v>
      </c>
    </row>
    <row r="5" spans="1:33" ht="13.5" thickBot="1" x14ac:dyDescent="0.25">
      <c r="A5" s="1273"/>
      <c r="B5" s="1273"/>
      <c r="C5" s="1274" t="s">
        <v>1872</v>
      </c>
      <c r="D5" s="1274" t="s">
        <v>1873</v>
      </c>
      <c r="E5" s="1274" t="s">
        <v>1779</v>
      </c>
      <c r="F5" s="1274" t="s">
        <v>1769</v>
      </c>
      <c r="G5" s="1274" t="s">
        <v>1876</v>
      </c>
      <c r="H5" s="1274" t="s">
        <v>781</v>
      </c>
      <c r="I5" s="1274" t="s">
        <v>1877</v>
      </c>
      <c r="J5" s="1274" t="s">
        <v>1895</v>
      </c>
      <c r="K5" s="1274" t="s">
        <v>782</v>
      </c>
      <c r="L5" s="1274" t="s">
        <v>1874</v>
      </c>
      <c r="M5" s="1274" t="s">
        <v>783</v>
      </c>
      <c r="N5" s="1274" t="s">
        <v>1894</v>
      </c>
      <c r="O5" s="1274" t="s">
        <v>784</v>
      </c>
      <c r="P5" s="1274" t="s">
        <v>1921</v>
      </c>
      <c r="Q5" s="1274" t="s">
        <v>785</v>
      </c>
      <c r="R5" s="1274" t="s">
        <v>786</v>
      </c>
      <c r="S5" s="1274" t="s">
        <v>658</v>
      </c>
      <c r="T5" s="1274" t="s">
        <v>787</v>
      </c>
      <c r="U5" s="1274" t="s">
        <v>788</v>
      </c>
      <c r="V5" s="1274" t="s">
        <v>1768</v>
      </c>
      <c r="W5" s="1274" t="s">
        <v>1875</v>
      </c>
      <c r="X5" s="1274" t="s">
        <v>789</v>
      </c>
      <c r="Y5" s="1274" t="s">
        <v>790</v>
      </c>
      <c r="Z5" s="1274" t="s">
        <v>791</v>
      </c>
      <c r="AA5" s="1274" t="s">
        <v>792</v>
      </c>
      <c r="AB5" s="1273"/>
      <c r="AC5" s="1319"/>
      <c r="AD5" s="1323"/>
      <c r="AE5" s="1356"/>
      <c r="AF5" s="1323"/>
      <c r="AG5" s="1319"/>
    </row>
    <row r="6" spans="1:33" ht="15" customHeight="1" thickBot="1" x14ac:dyDescent="0.25">
      <c r="A6" s="1274" t="s">
        <v>119</v>
      </c>
      <c r="B6" s="1231">
        <v>1.3125</v>
      </c>
      <c r="C6" s="1233">
        <v>3.125</v>
      </c>
      <c r="D6" s="1233">
        <v>5.875</v>
      </c>
      <c r="E6" s="1233">
        <v>0.875</v>
      </c>
      <c r="F6" s="1233">
        <v>1.5</v>
      </c>
      <c r="G6" s="1233">
        <v>2</v>
      </c>
      <c r="H6" s="1233">
        <v>1.5</v>
      </c>
      <c r="I6" s="1233">
        <v>4.625</v>
      </c>
      <c r="J6" s="1233">
        <v>4.625</v>
      </c>
      <c r="K6" s="1232">
        <v>4</v>
      </c>
      <c r="L6" s="1233">
        <v>10.125</v>
      </c>
      <c r="M6" s="1233">
        <v>16</v>
      </c>
      <c r="N6" s="1234">
        <v>8</v>
      </c>
      <c r="O6" s="1234"/>
      <c r="P6" s="1233"/>
      <c r="Q6" s="1233"/>
      <c r="R6" s="1234"/>
      <c r="S6" s="1233"/>
      <c r="T6" s="1233"/>
      <c r="U6" s="1233">
        <v>10</v>
      </c>
      <c r="V6" s="1233"/>
      <c r="W6" s="1233">
        <v>3.125</v>
      </c>
      <c r="X6" s="1233"/>
      <c r="Y6" s="1234"/>
      <c r="Z6" s="1234"/>
      <c r="AA6" s="1234">
        <v>9</v>
      </c>
      <c r="AB6" s="1274" t="s">
        <v>119</v>
      </c>
      <c r="AC6" s="1235">
        <v>4</v>
      </c>
      <c r="AD6" s="1236">
        <v>0.875</v>
      </c>
      <c r="AE6" s="1260">
        <v>5</v>
      </c>
      <c r="AF6" s="1261" t="s">
        <v>816</v>
      </c>
      <c r="AG6" s="1262">
        <v>0.15625</v>
      </c>
    </row>
    <row r="7" spans="1:33" ht="15" customHeight="1" thickBot="1" x14ac:dyDescent="0.25">
      <c r="A7" s="1274" t="s">
        <v>794</v>
      </c>
      <c r="B7" s="1237">
        <v>1.875</v>
      </c>
      <c r="C7" s="1238">
        <v>3.5</v>
      </c>
      <c r="D7" s="1238">
        <v>7</v>
      </c>
      <c r="E7" s="1238">
        <v>1.125</v>
      </c>
      <c r="F7" s="1238">
        <v>2.25</v>
      </c>
      <c r="G7" s="1238">
        <v>2.5</v>
      </c>
      <c r="H7" s="1238">
        <v>1.5</v>
      </c>
      <c r="I7" s="1238">
        <v>5.75</v>
      </c>
      <c r="J7" s="1238">
        <v>5.75</v>
      </c>
      <c r="K7" s="157">
        <v>4.625</v>
      </c>
      <c r="L7" s="1238">
        <v>12.125</v>
      </c>
      <c r="M7" s="1238">
        <v>20</v>
      </c>
      <c r="N7" s="1239">
        <v>9</v>
      </c>
      <c r="O7" s="1239">
        <v>12.125</v>
      </c>
      <c r="P7" s="1238"/>
      <c r="Q7" s="1238"/>
      <c r="R7" s="1239"/>
      <c r="S7" s="1238"/>
      <c r="T7" s="1238"/>
      <c r="U7" s="1238">
        <v>12</v>
      </c>
      <c r="V7" s="1238"/>
      <c r="W7" s="157">
        <v>5.40625</v>
      </c>
      <c r="X7" s="1238"/>
      <c r="Y7" s="1239"/>
      <c r="Z7" s="1239"/>
      <c r="AA7" s="1239">
        <v>15</v>
      </c>
      <c r="AB7" s="1274" t="s">
        <v>794</v>
      </c>
      <c r="AC7" s="1240">
        <v>4</v>
      </c>
      <c r="AD7" s="1256">
        <v>1</v>
      </c>
      <c r="AE7" s="1263">
        <v>5.5</v>
      </c>
      <c r="AF7" s="1264" t="s">
        <v>817</v>
      </c>
      <c r="AG7" s="1265">
        <v>0.15625</v>
      </c>
    </row>
    <row r="8" spans="1:33" ht="15" customHeight="1" thickBot="1" x14ac:dyDescent="0.25">
      <c r="A8" s="1274" t="s">
        <v>189</v>
      </c>
      <c r="B8" s="1242">
        <v>2.375</v>
      </c>
      <c r="C8" s="2">
        <v>4.3125</v>
      </c>
      <c r="D8" s="1243">
        <v>8.5</v>
      </c>
      <c r="E8" s="1243">
        <v>1.375</v>
      </c>
      <c r="F8" s="1243">
        <v>2.5</v>
      </c>
      <c r="G8" s="1243">
        <v>3</v>
      </c>
      <c r="H8" s="1243">
        <v>1.5</v>
      </c>
      <c r="I8" s="2">
        <v>7.3125</v>
      </c>
      <c r="J8" s="2">
        <v>6.8125</v>
      </c>
      <c r="K8" s="2">
        <v>5.6875</v>
      </c>
      <c r="L8" s="1243">
        <v>14.625</v>
      </c>
      <c r="M8" s="1243">
        <v>22.125</v>
      </c>
      <c r="N8" s="1244">
        <v>10</v>
      </c>
      <c r="O8" s="1243">
        <v>14.625</v>
      </c>
      <c r="P8" s="1243">
        <v>14.5</v>
      </c>
      <c r="Q8" s="1243">
        <v>25.125</v>
      </c>
      <c r="R8" s="1244">
        <v>14</v>
      </c>
      <c r="S8" s="1243"/>
      <c r="T8" s="1243"/>
      <c r="U8" s="1243">
        <v>14.625</v>
      </c>
      <c r="V8" s="1243">
        <v>14.625</v>
      </c>
      <c r="W8" s="1243">
        <v>6.5</v>
      </c>
      <c r="X8" s="1243"/>
      <c r="Y8" s="1244"/>
      <c r="Z8" s="1244"/>
      <c r="AA8" s="1244">
        <v>33</v>
      </c>
      <c r="AB8" s="1274" t="s">
        <v>189</v>
      </c>
      <c r="AC8" s="1245">
        <v>8</v>
      </c>
      <c r="AD8" s="1246">
        <v>0.875</v>
      </c>
      <c r="AE8" s="1266">
        <v>5.75</v>
      </c>
      <c r="AF8" s="1267" t="s">
        <v>818</v>
      </c>
      <c r="AG8" s="1268">
        <v>0.125</v>
      </c>
    </row>
    <row r="9" spans="1:33" ht="15" customHeight="1" thickBot="1" x14ac:dyDescent="0.25">
      <c r="A9" s="1274" t="s">
        <v>795</v>
      </c>
      <c r="B9" s="1237">
        <v>2.875</v>
      </c>
      <c r="C9" s="157">
        <v>4.4375</v>
      </c>
      <c r="D9" s="1238">
        <v>9.625</v>
      </c>
      <c r="E9" s="1238">
        <v>1.75</v>
      </c>
      <c r="F9" s="1238">
        <v>3</v>
      </c>
      <c r="G9" s="1238">
        <v>3.5</v>
      </c>
      <c r="H9" s="1238">
        <v>1.5</v>
      </c>
      <c r="I9" s="157">
        <v>8.1875</v>
      </c>
      <c r="J9" s="157">
        <v>7.4375</v>
      </c>
      <c r="K9" s="157">
        <v>6.1875</v>
      </c>
      <c r="L9" s="1238">
        <v>16.625</v>
      </c>
      <c r="M9" s="1238">
        <v>26.375</v>
      </c>
      <c r="N9" s="1239">
        <v>12</v>
      </c>
      <c r="O9" s="1238">
        <v>16.625</v>
      </c>
      <c r="P9" s="1238">
        <v>16.5</v>
      </c>
      <c r="Q9" s="1238">
        <v>28.125</v>
      </c>
      <c r="R9" s="1239">
        <v>18</v>
      </c>
      <c r="S9" s="1238"/>
      <c r="T9" s="1238"/>
      <c r="U9" s="1238"/>
      <c r="V9" s="1238"/>
      <c r="W9" s="1238"/>
      <c r="X9" s="1238"/>
      <c r="Y9" s="1239"/>
      <c r="Z9" s="1239"/>
      <c r="AA9" s="1239"/>
      <c r="AB9" s="1274" t="s">
        <v>795</v>
      </c>
      <c r="AC9" s="1240">
        <v>8</v>
      </c>
      <c r="AD9" s="1256">
        <v>1</v>
      </c>
      <c r="AE9" s="1263">
        <v>6.25</v>
      </c>
      <c r="AF9" s="1264" t="s">
        <v>819</v>
      </c>
      <c r="AG9" s="1265">
        <v>0.125</v>
      </c>
    </row>
    <row r="10" spans="1:33" ht="15" customHeight="1" thickBot="1" x14ac:dyDescent="0.25">
      <c r="A10" s="1274" t="s">
        <v>241</v>
      </c>
      <c r="B10" s="1242">
        <v>3.5</v>
      </c>
      <c r="C10" s="2">
        <v>4.9375</v>
      </c>
      <c r="D10" s="1243">
        <v>10.5</v>
      </c>
      <c r="E10" s="1243">
        <v>2</v>
      </c>
      <c r="F10" s="1243">
        <v>3.375</v>
      </c>
      <c r="G10" s="1243">
        <v>3.5</v>
      </c>
      <c r="H10" s="1243">
        <v>2</v>
      </c>
      <c r="I10" s="2">
        <v>9.4375</v>
      </c>
      <c r="J10" s="2">
        <v>8.3125</v>
      </c>
      <c r="K10" s="2">
        <v>6.9375</v>
      </c>
      <c r="L10" s="1243">
        <v>18.625</v>
      </c>
      <c r="M10" s="1243">
        <v>28</v>
      </c>
      <c r="N10" s="1244">
        <v>14</v>
      </c>
      <c r="O10" s="1243">
        <v>18.625</v>
      </c>
      <c r="P10" s="1243">
        <v>18.5</v>
      </c>
      <c r="Q10" s="1243">
        <v>33.5</v>
      </c>
      <c r="R10" s="1244">
        <v>24</v>
      </c>
      <c r="S10" s="1243"/>
      <c r="T10" s="1243"/>
      <c r="U10" s="1243">
        <v>18.625</v>
      </c>
      <c r="V10" s="1243">
        <v>18.625</v>
      </c>
      <c r="W10" s="1243">
        <v>7.375</v>
      </c>
      <c r="X10" s="1243">
        <v>3.125</v>
      </c>
      <c r="Y10" s="1243">
        <v>10.25</v>
      </c>
      <c r="Z10" s="1243">
        <v>17.125</v>
      </c>
      <c r="AA10" s="1244">
        <v>33</v>
      </c>
      <c r="AB10" s="1274" t="s">
        <v>241</v>
      </c>
      <c r="AC10" s="1245">
        <v>8</v>
      </c>
      <c r="AD10" s="1246">
        <v>1.125</v>
      </c>
      <c r="AE10" s="1266">
        <v>7</v>
      </c>
      <c r="AF10" s="1269" t="s">
        <v>834</v>
      </c>
      <c r="AG10" s="1268">
        <v>0.125</v>
      </c>
    </row>
    <row r="11" spans="1:33" ht="15" customHeight="1" thickBot="1" x14ac:dyDescent="0.25">
      <c r="A11" s="1274" t="s">
        <v>253</v>
      </c>
      <c r="B11" s="1237">
        <v>4.5</v>
      </c>
      <c r="C11" s="157">
        <v>5.1875</v>
      </c>
      <c r="D11" s="1238">
        <v>12.25</v>
      </c>
      <c r="E11" s="1238">
        <v>2.5</v>
      </c>
      <c r="F11" s="1238">
        <v>4.125</v>
      </c>
      <c r="G11" s="1238">
        <v>4</v>
      </c>
      <c r="H11" s="1238">
        <v>2.5</v>
      </c>
      <c r="I11" s="157">
        <v>11.1875</v>
      </c>
      <c r="J11" s="157">
        <v>9.3125</v>
      </c>
      <c r="K11" s="157">
        <v>7.6875</v>
      </c>
      <c r="L11" s="1238">
        <v>21.625</v>
      </c>
      <c r="M11" s="1238">
        <v>33</v>
      </c>
      <c r="N11" s="1239">
        <v>16</v>
      </c>
      <c r="O11" s="1238">
        <v>21.625</v>
      </c>
      <c r="P11" s="1238"/>
      <c r="Q11" s="1238"/>
      <c r="R11" s="1239"/>
      <c r="S11" s="1238"/>
      <c r="T11" s="1238"/>
      <c r="U11" s="1238">
        <v>21.625</v>
      </c>
      <c r="V11" s="1238">
        <v>21.625</v>
      </c>
      <c r="W11" s="157">
        <v>9.5625</v>
      </c>
      <c r="X11" s="1238">
        <v>5</v>
      </c>
      <c r="Y11" s="1238">
        <v>11.5</v>
      </c>
      <c r="Z11" s="1238">
        <v>24</v>
      </c>
      <c r="AA11" s="1239">
        <v>44</v>
      </c>
      <c r="AB11" s="1274" t="s">
        <v>253</v>
      </c>
      <c r="AC11" s="1240">
        <v>8</v>
      </c>
      <c r="AD11" s="1241">
        <v>1.25</v>
      </c>
      <c r="AE11" s="1263">
        <v>7.75</v>
      </c>
      <c r="AF11" s="1264" t="s">
        <v>835</v>
      </c>
      <c r="AG11" s="1265">
        <v>0.125</v>
      </c>
    </row>
    <row r="12" spans="1:33" ht="15" customHeight="1" thickBot="1" x14ac:dyDescent="0.25">
      <c r="A12" s="1274" t="s">
        <v>254</v>
      </c>
      <c r="B12" s="1242">
        <v>6.625</v>
      </c>
      <c r="C12" s="1243">
        <v>7.125</v>
      </c>
      <c r="D12" s="1243">
        <v>15.5</v>
      </c>
      <c r="E12" s="1243">
        <v>3.75</v>
      </c>
      <c r="F12" s="1243">
        <v>5.625</v>
      </c>
      <c r="G12" s="1243">
        <v>5.5</v>
      </c>
      <c r="H12" s="1243">
        <v>3.5</v>
      </c>
      <c r="I12" s="1243">
        <v>16.125</v>
      </c>
      <c r="J12" s="1243">
        <v>12.75</v>
      </c>
      <c r="K12" s="1243">
        <v>10.875</v>
      </c>
      <c r="L12" s="1243">
        <v>27.875</v>
      </c>
      <c r="M12" s="1243">
        <v>47</v>
      </c>
      <c r="N12" s="1244">
        <v>24</v>
      </c>
      <c r="O12" s="1243">
        <v>28</v>
      </c>
      <c r="P12" s="1243"/>
      <c r="Q12" s="1243"/>
      <c r="R12" s="1244"/>
      <c r="S12" s="1243"/>
      <c r="T12" s="1243"/>
      <c r="U12" s="1243">
        <v>28</v>
      </c>
      <c r="V12" s="1243">
        <v>28</v>
      </c>
      <c r="W12" s="2">
        <v>12.5625</v>
      </c>
      <c r="X12" s="1243">
        <v>5</v>
      </c>
      <c r="Y12" s="2">
        <v>18.9375</v>
      </c>
      <c r="Z12" s="1243">
        <v>30.25</v>
      </c>
      <c r="AA12" s="1243"/>
      <c r="AB12" s="1274" t="s">
        <v>254</v>
      </c>
      <c r="AC12" s="1245">
        <v>12</v>
      </c>
      <c r="AD12" s="1246">
        <v>1.375</v>
      </c>
      <c r="AE12" s="1266">
        <v>10.5</v>
      </c>
      <c r="AF12" s="1269" t="s">
        <v>836</v>
      </c>
      <c r="AG12" s="1268">
        <v>0.125</v>
      </c>
    </row>
    <row r="13" spans="1:33" ht="15" customHeight="1" thickBot="1" x14ac:dyDescent="0.25">
      <c r="A13" s="1274" t="s">
        <v>278</v>
      </c>
      <c r="B13" s="1237">
        <v>8.625</v>
      </c>
      <c r="C13" s="157">
        <v>8.8125</v>
      </c>
      <c r="D13" s="1238">
        <v>19</v>
      </c>
      <c r="E13" s="1238">
        <v>5</v>
      </c>
      <c r="F13" s="1238">
        <v>7</v>
      </c>
      <c r="G13" s="1238">
        <v>6</v>
      </c>
      <c r="H13" s="1238">
        <v>4</v>
      </c>
      <c r="I13" s="157">
        <v>20.8125</v>
      </c>
      <c r="J13" s="157">
        <v>15.8125</v>
      </c>
      <c r="K13" s="157">
        <v>13.8125</v>
      </c>
      <c r="L13" s="1238">
        <v>32.875</v>
      </c>
      <c r="M13" s="1238">
        <v>55</v>
      </c>
      <c r="N13" s="1239">
        <v>27</v>
      </c>
      <c r="O13" s="1238">
        <v>32.875</v>
      </c>
      <c r="P13" s="1238"/>
      <c r="Q13" s="1238"/>
      <c r="R13" s="1239"/>
      <c r="S13" s="1238"/>
      <c r="T13" s="1238"/>
      <c r="U13" s="1238">
        <v>33.125</v>
      </c>
      <c r="V13" s="1238">
        <v>33.125</v>
      </c>
      <c r="W13" s="1238">
        <v>14.5</v>
      </c>
      <c r="X13" s="157">
        <v>3.6875</v>
      </c>
      <c r="Y13" s="157">
        <v>18.9375</v>
      </c>
      <c r="Z13" s="1238">
        <v>30.25</v>
      </c>
      <c r="AA13" s="1238"/>
      <c r="AB13" s="1274" t="s">
        <v>278</v>
      </c>
      <c r="AC13" s="1240">
        <v>12</v>
      </c>
      <c r="AD13" s="1241">
        <v>1.625</v>
      </c>
      <c r="AE13" s="1263">
        <v>12</v>
      </c>
      <c r="AF13" s="1270" t="s">
        <v>837</v>
      </c>
      <c r="AG13" s="1265">
        <v>0.15625</v>
      </c>
    </row>
    <row r="14" spans="1:33" ht="15" customHeight="1" thickBot="1" x14ac:dyDescent="0.25">
      <c r="A14" s="1274" t="s">
        <v>279</v>
      </c>
      <c r="B14" s="1242">
        <v>10.75</v>
      </c>
      <c r="C14" s="2">
        <v>10.4375</v>
      </c>
      <c r="D14" s="1243">
        <v>23</v>
      </c>
      <c r="E14" s="1243">
        <v>6.25</v>
      </c>
      <c r="F14" s="1243">
        <v>8.5</v>
      </c>
      <c r="G14" s="1243">
        <v>7</v>
      </c>
      <c r="H14" s="1243">
        <v>5</v>
      </c>
      <c r="I14" s="2">
        <v>25.4375</v>
      </c>
      <c r="J14" s="2">
        <v>18.9375</v>
      </c>
      <c r="K14" s="2">
        <v>16.6875</v>
      </c>
      <c r="L14" s="1243"/>
      <c r="M14" s="1243"/>
      <c r="N14" s="1244"/>
      <c r="O14" s="1244"/>
      <c r="P14" s="1243"/>
      <c r="Q14" s="1243"/>
      <c r="R14" s="1244"/>
      <c r="S14" s="1243"/>
      <c r="T14" s="1243"/>
      <c r="U14" s="1243">
        <v>39.375</v>
      </c>
      <c r="V14" s="1243">
        <v>39.375</v>
      </c>
      <c r="W14" s="1243">
        <v>18.875</v>
      </c>
      <c r="X14" s="1243">
        <v>4.875</v>
      </c>
      <c r="Y14" s="1243">
        <v>21.5</v>
      </c>
      <c r="Z14" s="1243">
        <v>39</v>
      </c>
      <c r="AA14" s="1243"/>
      <c r="AB14" s="1274" t="s">
        <v>279</v>
      </c>
      <c r="AC14" s="1245">
        <v>12</v>
      </c>
      <c r="AD14" s="1246">
        <v>1.875</v>
      </c>
      <c r="AE14" s="1266">
        <v>13.75</v>
      </c>
      <c r="AF14" s="1269" t="s">
        <v>838</v>
      </c>
      <c r="AG14" s="1268">
        <v>0.15625</v>
      </c>
    </row>
    <row r="15" spans="1:33" ht="15" customHeight="1" thickBot="1" x14ac:dyDescent="0.25">
      <c r="A15" s="1274" t="s">
        <v>280</v>
      </c>
      <c r="B15" s="1237">
        <v>12.75</v>
      </c>
      <c r="C15" s="157">
        <v>11.6875</v>
      </c>
      <c r="D15" s="1238">
        <v>26.5</v>
      </c>
      <c r="E15" s="1238">
        <v>7.5</v>
      </c>
      <c r="F15" s="1238">
        <v>10</v>
      </c>
      <c r="G15" s="1238">
        <v>8</v>
      </c>
      <c r="H15" s="1238">
        <v>6</v>
      </c>
      <c r="I15" s="157">
        <v>29.6875</v>
      </c>
      <c r="J15" s="157">
        <v>21.6875</v>
      </c>
      <c r="K15" s="157">
        <v>19.1875</v>
      </c>
      <c r="L15" s="1238"/>
      <c r="M15" s="1238"/>
      <c r="N15" s="1239"/>
      <c r="O15" s="1239"/>
      <c r="P15" s="1238"/>
      <c r="Q15" s="1238"/>
      <c r="R15" s="1239"/>
      <c r="S15" s="1238"/>
      <c r="T15" s="1238"/>
      <c r="U15" s="1238">
        <v>45.125</v>
      </c>
      <c r="V15" s="1238">
        <v>45.125</v>
      </c>
      <c r="W15" s="157">
        <v>21.6875</v>
      </c>
      <c r="X15" s="1238">
        <v>4.875</v>
      </c>
      <c r="Y15" s="1238">
        <v>21.5</v>
      </c>
      <c r="Z15" s="1238">
        <v>39</v>
      </c>
      <c r="AA15" s="1238"/>
      <c r="AB15" s="1274" t="s">
        <v>280</v>
      </c>
      <c r="AC15" s="1240">
        <v>16</v>
      </c>
      <c r="AD15" s="1241">
        <v>2</v>
      </c>
      <c r="AE15" s="1263">
        <v>15.5</v>
      </c>
      <c r="AF15" s="1264" t="s">
        <v>839</v>
      </c>
      <c r="AG15" s="1265">
        <v>0.1875</v>
      </c>
    </row>
    <row r="16" spans="1:33" ht="15" customHeight="1" thickBot="1" x14ac:dyDescent="0.25">
      <c r="A16" s="1274" t="s">
        <v>281</v>
      </c>
      <c r="B16" s="1242">
        <v>14</v>
      </c>
      <c r="C16" s="1243">
        <v>12.375</v>
      </c>
      <c r="D16" s="1243">
        <v>29.5</v>
      </c>
      <c r="E16" s="1243">
        <v>8.75</v>
      </c>
      <c r="F16" s="1243">
        <v>11</v>
      </c>
      <c r="G16" s="1243">
        <v>13</v>
      </c>
      <c r="H16" s="1243">
        <v>6.5</v>
      </c>
      <c r="I16" s="1243">
        <v>33.375</v>
      </c>
      <c r="J16" s="1243">
        <v>23.375</v>
      </c>
      <c r="K16" s="1243">
        <v>21.125</v>
      </c>
      <c r="L16" s="1243"/>
      <c r="M16" s="1243"/>
      <c r="N16" s="1244"/>
      <c r="O16" s="1244"/>
      <c r="P16" s="1243"/>
      <c r="Q16" s="1243"/>
      <c r="R16" s="1244"/>
      <c r="S16" s="1243"/>
      <c r="T16" s="1243"/>
      <c r="U16" s="1243">
        <v>50.25</v>
      </c>
      <c r="V16" s="1243">
        <v>50.25</v>
      </c>
      <c r="W16" s="1243">
        <v>23.75</v>
      </c>
      <c r="X16" s="1243">
        <v>9.75</v>
      </c>
      <c r="Y16" s="1243">
        <v>29</v>
      </c>
      <c r="Z16" s="1243">
        <v>39</v>
      </c>
      <c r="AA16" s="1243"/>
      <c r="AB16" s="1274" t="s">
        <v>281</v>
      </c>
      <c r="AC16" s="1245">
        <v>16</v>
      </c>
      <c r="AD16" s="1246">
        <v>2.25</v>
      </c>
      <c r="AE16" s="1266">
        <v>17</v>
      </c>
      <c r="AF16" s="1269" t="s">
        <v>840</v>
      </c>
      <c r="AG16" s="1268">
        <v>0.21875</v>
      </c>
    </row>
    <row r="17" spans="1:33" ht="15" customHeight="1" thickBot="1" x14ac:dyDescent="0.25">
      <c r="A17" s="1274" t="s">
        <v>282</v>
      </c>
      <c r="B17" s="1237">
        <v>16</v>
      </c>
      <c r="C17" s="157">
        <v>12.9375</v>
      </c>
      <c r="D17" s="1238">
        <v>32.5</v>
      </c>
      <c r="E17" s="1238">
        <v>10</v>
      </c>
      <c r="F17" s="1238">
        <v>12</v>
      </c>
      <c r="G17" s="1238">
        <v>14</v>
      </c>
      <c r="H17" s="1238">
        <v>7</v>
      </c>
      <c r="I17" s="157">
        <v>36.9375</v>
      </c>
      <c r="J17" s="157">
        <v>24.9375</v>
      </c>
      <c r="K17" s="157">
        <v>22.9375</v>
      </c>
      <c r="L17" s="1238"/>
      <c r="M17" s="1238"/>
      <c r="N17" s="1239"/>
      <c r="O17" s="1239"/>
      <c r="P17" s="1238"/>
      <c r="Q17" s="1238"/>
      <c r="R17" s="1239"/>
      <c r="S17" s="1238"/>
      <c r="T17" s="1238"/>
      <c r="U17" s="1238">
        <v>55.375</v>
      </c>
      <c r="V17" s="1238">
        <v>55.375</v>
      </c>
      <c r="W17" s="1238">
        <v>25.75</v>
      </c>
      <c r="X17" s="1238">
        <v>9.75</v>
      </c>
      <c r="Y17" s="1238">
        <v>29</v>
      </c>
      <c r="Z17" s="1238">
        <v>30.25</v>
      </c>
      <c r="AA17" s="1238"/>
      <c r="AB17" s="1274" t="s">
        <v>282</v>
      </c>
      <c r="AC17" s="1240">
        <v>16</v>
      </c>
      <c r="AD17" s="1241">
        <v>2.5</v>
      </c>
      <c r="AE17" s="1263">
        <v>18.5</v>
      </c>
      <c r="AF17" s="1264" t="s">
        <v>841</v>
      </c>
      <c r="AG17" s="1265">
        <v>0.3125</v>
      </c>
    </row>
    <row r="18" spans="1:33" ht="15" customHeight="1" thickBot="1" x14ac:dyDescent="0.25">
      <c r="A18" s="1274" t="s">
        <v>283</v>
      </c>
      <c r="B18" s="1242">
        <v>18</v>
      </c>
      <c r="C18" s="2">
        <v>13.5625</v>
      </c>
      <c r="D18" s="1243">
        <v>36</v>
      </c>
      <c r="E18" s="1243">
        <v>11.25</v>
      </c>
      <c r="F18" s="1243">
        <v>13.5</v>
      </c>
      <c r="G18" s="1243">
        <v>15</v>
      </c>
      <c r="H18" s="1243">
        <v>8</v>
      </c>
      <c r="I18" s="2">
        <v>40.5625</v>
      </c>
      <c r="J18" s="2">
        <v>27.0625</v>
      </c>
      <c r="K18" s="2">
        <v>24.8125</v>
      </c>
      <c r="L18" s="1243"/>
      <c r="M18" s="1243"/>
      <c r="N18" s="1244"/>
      <c r="O18" s="1244"/>
      <c r="P18" s="1243"/>
      <c r="Q18" s="1243"/>
      <c r="R18" s="1244"/>
      <c r="S18" s="1243"/>
      <c r="T18" s="2"/>
      <c r="U18" s="1243">
        <v>61.375</v>
      </c>
      <c r="V18" s="1243"/>
      <c r="W18" s="1243">
        <v>30.5</v>
      </c>
      <c r="X18" s="1243">
        <v>5.75</v>
      </c>
      <c r="Y18" s="1243">
        <v>31.375</v>
      </c>
      <c r="Z18" s="1243">
        <v>30.25</v>
      </c>
      <c r="AA18" s="1243"/>
      <c r="AB18" s="1274" t="s">
        <v>283</v>
      </c>
      <c r="AC18" s="1245">
        <v>16</v>
      </c>
      <c r="AD18" s="1246">
        <v>2.75</v>
      </c>
      <c r="AE18" s="1266">
        <v>20.5</v>
      </c>
      <c r="AF18" s="1269" t="s">
        <v>842</v>
      </c>
      <c r="AG18" s="1268">
        <v>0.3125</v>
      </c>
    </row>
    <row r="19" spans="1:33" ht="15" customHeight="1" thickBot="1" x14ac:dyDescent="0.25">
      <c r="A19" s="1274" t="s">
        <v>284</v>
      </c>
      <c r="B19" s="1237">
        <v>20</v>
      </c>
      <c r="C19" s="157">
        <v>14.6875</v>
      </c>
      <c r="D19" s="1238">
        <v>38.75</v>
      </c>
      <c r="E19" s="1238">
        <v>12.5</v>
      </c>
      <c r="F19" s="1238">
        <v>15</v>
      </c>
      <c r="G19" s="1238">
        <v>20</v>
      </c>
      <c r="H19" s="1238">
        <v>9</v>
      </c>
      <c r="I19" s="157">
        <v>44.6875</v>
      </c>
      <c r="J19" s="157">
        <v>29.6875</v>
      </c>
      <c r="K19" s="157">
        <v>27.1875</v>
      </c>
      <c r="L19" s="1238"/>
      <c r="M19" s="1238"/>
      <c r="N19" s="1239"/>
      <c r="O19" s="1239"/>
      <c r="P19" s="1238"/>
      <c r="Q19" s="1238"/>
      <c r="R19" s="1239"/>
      <c r="S19" s="1238"/>
      <c r="T19" s="1238"/>
      <c r="U19" s="1238">
        <v>66.375</v>
      </c>
      <c r="V19" s="1238">
        <v>66.375</v>
      </c>
      <c r="W19" s="1238">
        <v>31.25</v>
      </c>
      <c r="X19" s="1238">
        <v>5.75</v>
      </c>
      <c r="Y19" s="1238">
        <v>31.375</v>
      </c>
      <c r="Z19" s="1238">
        <v>30.25</v>
      </c>
      <c r="AA19" s="1238"/>
      <c r="AB19" s="1274" t="s">
        <v>284</v>
      </c>
      <c r="AC19" s="1240">
        <v>16</v>
      </c>
      <c r="AD19" s="1256">
        <v>3</v>
      </c>
      <c r="AE19" s="1263">
        <v>22.5</v>
      </c>
      <c r="AF19" s="1264" t="s">
        <v>843</v>
      </c>
      <c r="AG19" s="1265">
        <v>0.375</v>
      </c>
    </row>
    <row r="20" spans="1:33" ht="15" customHeight="1" thickBot="1" x14ac:dyDescent="0.25">
      <c r="A20" s="1274" t="s">
        <v>285</v>
      </c>
      <c r="B20" s="1242">
        <v>24</v>
      </c>
      <c r="C20" s="2">
        <v>16.8125</v>
      </c>
      <c r="D20" s="1243">
        <v>46</v>
      </c>
      <c r="E20" s="1243">
        <v>15</v>
      </c>
      <c r="F20" s="1243">
        <v>17</v>
      </c>
      <c r="G20" s="1243">
        <v>20</v>
      </c>
      <c r="H20" s="1243">
        <v>10.5</v>
      </c>
      <c r="I20" s="2">
        <v>52.8125</v>
      </c>
      <c r="J20" s="2">
        <v>33.8125</v>
      </c>
      <c r="K20" s="2">
        <v>31.8125</v>
      </c>
      <c r="L20" s="1243"/>
      <c r="M20" s="1243"/>
      <c r="N20" s="1244"/>
      <c r="O20" s="1244"/>
      <c r="P20" s="1243"/>
      <c r="Q20" s="1243"/>
      <c r="R20" s="1244"/>
      <c r="S20" s="1243"/>
      <c r="T20" s="1243"/>
      <c r="U20" s="1243">
        <v>77.625</v>
      </c>
      <c r="V20" s="1243">
        <v>77.625</v>
      </c>
      <c r="W20" s="1243">
        <v>37.875</v>
      </c>
      <c r="X20" s="1243">
        <v>16</v>
      </c>
      <c r="Y20" s="1243">
        <v>37.25</v>
      </c>
      <c r="Z20" s="1243">
        <v>30.25</v>
      </c>
      <c r="AA20" s="1243"/>
      <c r="AB20" s="1274" t="s">
        <v>285</v>
      </c>
      <c r="AC20" s="1245">
        <v>16</v>
      </c>
      <c r="AD20" s="1246">
        <v>3.5</v>
      </c>
      <c r="AE20" s="1266">
        <v>25.75</v>
      </c>
      <c r="AF20" s="1269" t="s">
        <v>844</v>
      </c>
      <c r="AG20" s="1268">
        <v>0.4375</v>
      </c>
    </row>
    <row r="21" spans="1:33" ht="15" customHeight="1" x14ac:dyDescent="0.2">
      <c r="A21" s="1271" t="s">
        <v>831</v>
      </c>
      <c r="E21" s="1341" t="s">
        <v>797</v>
      </c>
      <c r="F21" s="1342"/>
      <c r="G21" s="1343"/>
    </row>
    <row r="22" spans="1:33" ht="15" customHeight="1" x14ac:dyDescent="0.2">
      <c r="A22" t="s">
        <v>798</v>
      </c>
      <c r="E22" s="1327"/>
      <c r="F22" s="1328"/>
      <c r="G22" s="1329"/>
    </row>
    <row r="23" spans="1:33" ht="15" customHeight="1" x14ac:dyDescent="0.2">
      <c r="A23" s="1247" t="s">
        <v>799</v>
      </c>
      <c r="B23" s="1247"/>
      <c r="C23" s="1247"/>
      <c r="D23" s="1247"/>
      <c r="E23" s="1330"/>
      <c r="F23" s="1331"/>
      <c r="G23" s="1332"/>
    </row>
    <row r="24" spans="1:33" ht="15" customHeight="1" x14ac:dyDescent="0.2">
      <c r="A24" s="1247" t="s">
        <v>800</v>
      </c>
      <c r="B24" s="1247"/>
      <c r="C24" s="1247"/>
      <c r="D24" s="1247"/>
    </row>
    <row r="25" spans="1:33" ht="15" customHeight="1" x14ac:dyDescent="0.2"/>
  </sheetData>
  <mergeCells count="29">
    <mergeCell ref="U3:AA3"/>
    <mergeCell ref="AB3:AB4"/>
    <mergeCell ref="AC3:AC5"/>
    <mergeCell ref="AF3:AG3"/>
    <mergeCell ref="AD4:AD5"/>
    <mergeCell ref="AE4:AE5"/>
    <mergeCell ref="AF4:AF5"/>
    <mergeCell ref="AG4:AG5"/>
    <mergeCell ref="J3:J4"/>
    <mergeCell ref="K3:K4"/>
    <mergeCell ref="L3:N4"/>
    <mergeCell ref="E21:G21"/>
    <mergeCell ref="E22:G23"/>
    <mergeCell ref="A1:AG1"/>
    <mergeCell ref="A2:AB2"/>
    <mergeCell ref="A3:A4"/>
    <mergeCell ref="B3:B4"/>
    <mergeCell ref="C3:C4"/>
    <mergeCell ref="D3:D4"/>
    <mergeCell ref="E3:E4"/>
    <mergeCell ref="F3:F4"/>
    <mergeCell ref="G3:G4"/>
    <mergeCell ref="H3:H4"/>
    <mergeCell ref="AD3:AE3"/>
    <mergeCell ref="O3:O4"/>
    <mergeCell ref="P3:R4"/>
    <mergeCell ref="S3:S4"/>
    <mergeCell ref="T3:T4"/>
    <mergeCell ref="I3:I4"/>
  </mergeCells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progId="AutoCAD-r13" shapeId="41985" r:id="rId3">
          <objectPr defaultSize="0" autoPict="0" r:id="rId4">
            <anchor moveWithCells="1">
              <from>
                <xdr:col>4</xdr:col>
                <xdr:colOff>295275</xdr:colOff>
                <xdr:row>1</xdr:row>
                <xdr:rowOff>28575</xdr:rowOff>
              </from>
              <to>
                <xdr:col>26</xdr:col>
                <xdr:colOff>152400</xdr:colOff>
                <xdr:row>1</xdr:row>
                <xdr:rowOff>2800350</xdr:rowOff>
              </to>
            </anchor>
          </objectPr>
        </oleObject>
      </mc:Choice>
      <mc:Fallback>
        <oleObject progId="AutoCAD-r13" shapeId="41985" r:id="rId3"/>
      </mc:Fallback>
    </mc:AlternateContent>
    <mc:AlternateContent xmlns:mc="http://schemas.openxmlformats.org/markup-compatibility/2006">
      <mc:Choice Requires="x14">
        <oleObject progId="AutoCAD-r13" shapeId="41986" r:id="rId5">
          <objectPr defaultSize="0" autoPict="0" r:id="rId6">
            <anchor moveWithCells="1">
              <from>
                <xdr:col>4</xdr:col>
                <xdr:colOff>219075</xdr:colOff>
                <xdr:row>1</xdr:row>
                <xdr:rowOff>28575</xdr:rowOff>
              </from>
              <to>
                <xdr:col>26</xdr:col>
                <xdr:colOff>76200</xdr:colOff>
                <xdr:row>1</xdr:row>
                <xdr:rowOff>2800350</xdr:rowOff>
              </to>
            </anchor>
          </objectPr>
        </oleObject>
      </mc:Choice>
      <mc:Fallback>
        <oleObject progId="AutoCAD-r13" shapeId="41986" r:id="rId5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E19"/>
  <sheetViews>
    <sheetView zoomScale="125" workbookViewId="0">
      <selection sqref="A1:K1"/>
    </sheetView>
  </sheetViews>
  <sheetFormatPr defaultRowHeight="12.75" x14ac:dyDescent="0.2"/>
  <cols>
    <col min="1" max="1" width="9.28515625" customWidth="1"/>
    <col min="2" max="5" width="9.42578125" customWidth="1"/>
    <col min="6" max="6" width="9.85546875" customWidth="1"/>
    <col min="7" max="11" width="9.28515625" customWidth="1"/>
  </cols>
  <sheetData>
    <row r="1" spans="1:31" ht="33" customHeight="1" thickTop="1" thickBot="1" x14ac:dyDescent="0.25">
      <c r="A1" s="1369" t="s">
        <v>847</v>
      </c>
      <c r="B1" s="1370"/>
      <c r="C1" s="1370"/>
      <c r="D1" s="1370"/>
      <c r="E1" s="1370"/>
      <c r="F1" s="1370"/>
      <c r="G1" s="1370"/>
      <c r="H1" s="1370"/>
      <c r="I1" s="1370"/>
      <c r="J1" s="1370"/>
      <c r="K1" s="1371"/>
      <c r="L1" s="1280"/>
      <c r="M1" s="1280"/>
      <c r="N1" s="1280"/>
      <c r="O1" s="1280"/>
      <c r="P1" s="1280"/>
      <c r="Q1" s="1280"/>
      <c r="R1" s="1280"/>
      <c r="S1" s="1280"/>
      <c r="T1" s="1280"/>
      <c r="U1" s="1280"/>
      <c r="V1" s="1280"/>
      <c r="W1" s="1280"/>
      <c r="X1" s="1280"/>
      <c r="Y1" s="1280"/>
      <c r="Z1" s="1280"/>
      <c r="AA1" s="1280"/>
      <c r="AB1" s="1280"/>
      <c r="AC1" s="1280"/>
      <c r="AD1" s="1280"/>
      <c r="AE1" s="1280"/>
    </row>
    <row r="2" spans="1:31" ht="110.25" customHeight="1" thickTop="1" thickBot="1" x14ac:dyDescent="0.25">
      <c r="A2" s="1372"/>
      <c r="B2" s="1373"/>
      <c r="C2" s="1373"/>
      <c r="D2" s="1373"/>
      <c r="E2" s="1373"/>
      <c r="F2" s="1373"/>
      <c r="G2" s="1373"/>
      <c r="H2" s="1373"/>
      <c r="I2" s="1373"/>
      <c r="J2" s="1373"/>
      <c r="K2" s="1374"/>
    </row>
    <row r="3" spans="1:31" ht="16.5" thickBot="1" x14ac:dyDescent="0.3">
      <c r="A3" s="1375" t="s">
        <v>848</v>
      </c>
      <c r="B3" s="1376"/>
      <c r="C3" s="1376"/>
      <c r="D3" s="1376"/>
      <c r="E3" s="1376"/>
      <c r="F3" s="1376"/>
      <c r="G3" s="1376"/>
      <c r="H3" s="1376"/>
      <c r="I3" s="1376"/>
      <c r="J3" s="1376"/>
      <c r="K3" s="1377"/>
    </row>
    <row r="4" spans="1:31" ht="13.5" thickBot="1" x14ac:dyDescent="0.25">
      <c r="A4" s="1281" t="s">
        <v>753</v>
      </c>
      <c r="B4" s="1281" t="s">
        <v>1872</v>
      </c>
      <c r="C4" s="1281" t="s">
        <v>1873</v>
      </c>
      <c r="D4" s="1281" t="s">
        <v>1779</v>
      </c>
      <c r="E4" s="1281" t="s">
        <v>1769</v>
      </c>
      <c r="F4" s="1281" t="s">
        <v>1876</v>
      </c>
      <c r="G4" s="1281" t="s">
        <v>781</v>
      </c>
      <c r="H4" s="1281" t="s">
        <v>1877</v>
      </c>
      <c r="I4" s="1281" t="s">
        <v>849</v>
      </c>
      <c r="J4" s="1282" t="s">
        <v>850</v>
      </c>
      <c r="K4" s="1281" t="s">
        <v>851</v>
      </c>
      <c r="L4" s="1283"/>
    </row>
    <row r="5" spans="1:31" x14ac:dyDescent="0.2">
      <c r="A5" s="1284">
        <v>0.5</v>
      </c>
      <c r="B5" s="1232">
        <v>1.3125</v>
      </c>
      <c r="C5" s="1233">
        <v>1.5</v>
      </c>
      <c r="D5" s="1234">
        <v>1</v>
      </c>
      <c r="E5" s="1233">
        <v>2.125</v>
      </c>
      <c r="F5" s="1232">
        <v>2.1875</v>
      </c>
      <c r="G5" s="1233">
        <v>1.875</v>
      </c>
      <c r="H5" s="1233">
        <v>1.125</v>
      </c>
      <c r="I5" s="1232">
        <v>0.5</v>
      </c>
      <c r="J5" s="1232">
        <v>0.5</v>
      </c>
      <c r="K5" s="1232">
        <v>0.5</v>
      </c>
    </row>
    <row r="6" spans="1:31" x14ac:dyDescent="0.2">
      <c r="A6" s="1285">
        <v>0.75</v>
      </c>
      <c r="B6" s="1238">
        <v>1.5</v>
      </c>
      <c r="C6" s="157">
        <v>1.8125</v>
      </c>
      <c r="D6" s="1238">
        <v>1.125</v>
      </c>
      <c r="E6" s="157">
        <v>2.3125</v>
      </c>
      <c r="F6" s="157">
        <v>2.5625</v>
      </c>
      <c r="G6" s="1239">
        <v>2</v>
      </c>
      <c r="H6" s="1238">
        <v>1.375</v>
      </c>
      <c r="I6" s="157">
        <v>0.5625</v>
      </c>
      <c r="J6" s="157">
        <v>0.5625</v>
      </c>
      <c r="K6" s="157">
        <v>0.5625</v>
      </c>
    </row>
    <row r="7" spans="1:31" x14ac:dyDescent="0.2">
      <c r="A7" s="1286">
        <v>1</v>
      </c>
      <c r="B7" s="1243">
        <v>1.75</v>
      </c>
      <c r="C7" s="2">
        <v>2.1875</v>
      </c>
      <c r="D7" s="2">
        <v>1.3125</v>
      </c>
      <c r="E7" s="1243">
        <v>2.5</v>
      </c>
      <c r="F7" s="2">
        <v>2.9375</v>
      </c>
      <c r="G7" s="1243">
        <v>2.375</v>
      </c>
      <c r="H7" s="1243">
        <v>1.75</v>
      </c>
      <c r="I7" s="2">
        <v>0.6875</v>
      </c>
      <c r="J7" s="2">
        <v>0.6875</v>
      </c>
      <c r="K7" s="2">
        <v>0.6875</v>
      </c>
    </row>
    <row r="8" spans="1:31" x14ac:dyDescent="0.2">
      <c r="A8" s="1285">
        <v>1.5</v>
      </c>
      <c r="B8" s="1238">
        <v>2.375</v>
      </c>
      <c r="C8" s="1239">
        <v>3</v>
      </c>
      <c r="D8" s="157">
        <v>1.6875</v>
      </c>
      <c r="E8" s="1238">
        <v>3.125</v>
      </c>
      <c r="F8" s="157">
        <v>3.6875</v>
      </c>
      <c r="G8" s="1238">
        <v>3.125</v>
      </c>
      <c r="H8" s="1238">
        <v>2.5</v>
      </c>
      <c r="I8" s="157">
        <v>0.6875</v>
      </c>
      <c r="J8" s="157">
        <v>0.6875</v>
      </c>
      <c r="K8" s="157">
        <v>0.6875</v>
      </c>
    </row>
    <row r="9" spans="1:31" x14ac:dyDescent="0.2">
      <c r="A9" s="1286">
        <v>2</v>
      </c>
      <c r="B9" s="1243">
        <v>2.5</v>
      </c>
      <c r="C9" s="2">
        <v>3.3125</v>
      </c>
      <c r="D9" s="2">
        <v>1.75</v>
      </c>
      <c r="E9" s="1243">
        <v>3.5</v>
      </c>
      <c r="F9" s="2">
        <v>4.5625</v>
      </c>
      <c r="G9" s="1243">
        <v>3.375</v>
      </c>
      <c r="H9" s="1244">
        <v>3</v>
      </c>
      <c r="I9" s="2">
        <v>0.75</v>
      </c>
      <c r="J9" s="2">
        <v>0.75</v>
      </c>
      <c r="K9" s="2">
        <v>0.75</v>
      </c>
    </row>
    <row r="10" spans="1:31" ht="13.5" thickBot="1" x14ac:dyDescent="0.25">
      <c r="A10" s="1285">
        <v>2.5</v>
      </c>
      <c r="B10" s="1238">
        <v>3.25</v>
      </c>
      <c r="C10" s="1239">
        <v>4</v>
      </c>
      <c r="D10" s="157">
        <v>2.0625</v>
      </c>
      <c r="E10" s="1238">
        <v>4.625</v>
      </c>
      <c r="F10" s="157">
        <v>5.25</v>
      </c>
      <c r="G10" s="1238">
        <v>3.625</v>
      </c>
      <c r="H10" s="1238">
        <v>3.625</v>
      </c>
      <c r="I10" s="157">
        <v>0.9375</v>
      </c>
      <c r="J10" s="157">
        <v>0.9375</v>
      </c>
      <c r="K10" s="157">
        <v>0.9375</v>
      </c>
    </row>
    <row r="11" spans="1:31" ht="16.5" thickBot="1" x14ac:dyDescent="0.3">
      <c r="A11" s="1375" t="s">
        <v>852</v>
      </c>
      <c r="B11" s="1376"/>
      <c r="C11" s="1376"/>
      <c r="D11" s="1376"/>
      <c r="E11" s="1376"/>
      <c r="F11" s="1376"/>
      <c r="G11" s="1376"/>
      <c r="H11" s="1376"/>
      <c r="I11" s="1376"/>
      <c r="J11" s="1376"/>
      <c r="K11" s="1377"/>
    </row>
    <row r="12" spans="1:31" ht="13.5" thickBot="1" x14ac:dyDescent="0.25">
      <c r="A12" s="1281" t="s">
        <v>753</v>
      </c>
      <c r="B12" s="1281" t="s">
        <v>1872</v>
      </c>
      <c r="C12" s="1281" t="s">
        <v>1873</v>
      </c>
      <c r="D12" s="1281" t="s">
        <v>1779</v>
      </c>
      <c r="E12" s="1281" t="s">
        <v>1769</v>
      </c>
      <c r="F12" s="1281" t="s">
        <v>1876</v>
      </c>
      <c r="G12" s="1281" t="s">
        <v>781</v>
      </c>
      <c r="H12" s="1281" t="s">
        <v>1877</v>
      </c>
      <c r="I12" s="1281" t="s">
        <v>849</v>
      </c>
      <c r="J12" s="1282" t="s">
        <v>850</v>
      </c>
      <c r="K12" s="1281" t="s">
        <v>851</v>
      </c>
    </row>
    <row r="13" spans="1:31" x14ac:dyDescent="0.2">
      <c r="A13" s="1284">
        <v>0.5</v>
      </c>
      <c r="B13" s="1233">
        <v>1.5</v>
      </c>
      <c r="C13" s="1232">
        <v>1.8125</v>
      </c>
      <c r="D13" s="1233">
        <v>1.125</v>
      </c>
      <c r="E13" s="1233">
        <v>2.875</v>
      </c>
      <c r="F13" s="1232">
        <v>2.8125</v>
      </c>
      <c r="G13" s="1233">
        <v>1.875</v>
      </c>
      <c r="H13" s="1233">
        <v>1.5</v>
      </c>
      <c r="I13" s="1232">
        <v>0.5</v>
      </c>
      <c r="J13" s="1232">
        <v>0.5</v>
      </c>
      <c r="K13" s="1232">
        <v>0.5</v>
      </c>
    </row>
    <row r="14" spans="1:31" x14ac:dyDescent="0.2">
      <c r="A14" s="1285">
        <v>0.75</v>
      </c>
      <c r="B14" s="1238">
        <v>1.75</v>
      </c>
      <c r="C14" s="157">
        <v>2.1875</v>
      </c>
      <c r="D14" s="157">
        <v>1.3125</v>
      </c>
      <c r="E14" s="1238">
        <v>3.375</v>
      </c>
      <c r="F14" s="1238">
        <v>3.125</v>
      </c>
      <c r="G14" s="1239">
        <v>2</v>
      </c>
      <c r="H14" s="1238">
        <v>1.75</v>
      </c>
      <c r="I14" s="157">
        <v>0.5625</v>
      </c>
      <c r="J14" s="157">
        <v>0.5625</v>
      </c>
      <c r="K14" s="157">
        <v>0.5625</v>
      </c>
    </row>
    <row r="15" spans="1:31" x14ac:dyDescent="0.2">
      <c r="A15" s="1286">
        <v>1</v>
      </c>
      <c r="B15" s="1244">
        <v>2</v>
      </c>
      <c r="C15" s="2">
        <v>2.4375</v>
      </c>
      <c r="D15" s="1243">
        <v>1.375</v>
      </c>
      <c r="E15" s="1243">
        <v>3.625</v>
      </c>
      <c r="F15" s="2">
        <v>3.8125</v>
      </c>
      <c r="G15" s="1243">
        <v>2.375</v>
      </c>
      <c r="H15" s="1243">
        <v>2.25</v>
      </c>
      <c r="I15" s="2">
        <v>0.6875</v>
      </c>
      <c r="J15" s="2">
        <v>0.6875</v>
      </c>
      <c r="K15" s="2">
        <v>0.6875</v>
      </c>
    </row>
    <row r="16" spans="1:31" x14ac:dyDescent="0.2">
      <c r="A16" s="1285">
        <v>1.5</v>
      </c>
      <c r="B16" s="1238">
        <v>2.5</v>
      </c>
      <c r="C16" s="157">
        <v>3.3125</v>
      </c>
      <c r="D16" s="1238">
        <v>1.75</v>
      </c>
      <c r="E16" s="157">
        <v>4.1875</v>
      </c>
      <c r="F16" s="1238">
        <v>4.75</v>
      </c>
      <c r="G16" s="1238">
        <v>3.125</v>
      </c>
      <c r="H16" s="1239">
        <v>3</v>
      </c>
      <c r="I16" s="157">
        <v>0.6875</v>
      </c>
      <c r="J16" s="157">
        <v>0.6875</v>
      </c>
      <c r="K16" s="157">
        <v>0.6875</v>
      </c>
    </row>
    <row r="17" spans="1:11" x14ac:dyDescent="0.2">
      <c r="A17" s="1286">
        <v>2</v>
      </c>
      <c r="B17" s="1243">
        <v>3.25</v>
      </c>
      <c r="C17" s="1244">
        <v>4</v>
      </c>
      <c r="D17" s="2">
        <v>2.0625</v>
      </c>
      <c r="E17" s="1243">
        <v>4.625</v>
      </c>
      <c r="F17" s="1243">
        <v>5.25</v>
      </c>
      <c r="G17" s="1243">
        <v>3.375</v>
      </c>
      <c r="H17" s="1243">
        <v>3.625</v>
      </c>
      <c r="I17" s="2">
        <v>0.75</v>
      </c>
      <c r="J17" s="2">
        <v>0.75</v>
      </c>
      <c r="K17" s="2">
        <v>0.75</v>
      </c>
    </row>
    <row r="18" spans="1:11" x14ac:dyDescent="0.2">
      <c r="A18" s="1285">
        <v>2.5</v>
      </c>
      <c r="B18" s="1238">
        <v>3.75</v>
      </c>
      <c r="C18" s="1238">
        <v>4.75</v>
      </c>
      <c r="D18" s="1238">
        <v>2.5</v>
      </c>
      <c r="E18" s="157" t="s">
        <v>1103</v>
      </c>
      <c r="F18" s="157" t="s">
        <v>1103</v>
      </c>
      <c r="G18" s="1238">
        <v>3.625</v>
      </c>
      <c r="H18" s="1238">
        <v>4.25</v>
      </c>
      <c r="I18" s="157">
        <v>0.9375</v>
      </c>
      <c r="J18" s="157">
        <v>0.9375</v>
      </c>
      <c r="K18" s="157">
        <v>0.9375</v>
      </c>
    </row>
    <row r="19" spans="1:11" ht="12.75" customHeight="1" x14ac:dyDescent="0.2">
      <c r="A19" s="1287" t="s">
        <v>853</v>
      </c>
      <c r="B19" s="1288" t="s">
        <v>854</v>
      </c>
    </row>
  </sheetData>
  <mergeCells count="4">
    <mergeCell ref="A1:K1"/>
    <mergeCell ref="A2:K2"/>
    <mergeCell ref="A3:K3"/>
    <mergeCell ref="A11:K11"/>
  </mergeCells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progId="AutoCAD.Drawing.15" shapeId="44033" r:id="rId3">
          <objectPr defaultSize="0" autoPict="0" r:id="rId4">
            <anchor moveWithCells="1">
              <from>
                <xdr:col>0</xdr:col>
                <xdr:colOff>38100</xdr:colOff>
                <xdr:row>1</xdr:row>
                <xdr:rowOff>19050</xdr:rowOff>
              </from>
              <to>
                <xdr:col>10</xdr:col>
                <xdr:colOff>600075</xdr:colOff>
                <xdr:row>1</xdr:row>
                <xdr:rowOff>1352550</xdr:rowOff>
              </to>
            </anchor>
          </objectPr>
        </oleObject>
      </mc:Choice>
      <mc:Fallback>
        <oleObject progId="AutoCAD.Drawing.15" shapeId="44033" r:id="rId3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7"/>
  <sheetViews>
    <sheetView zoomScale="84" workbookViewId="0">
      <selection sqref="A1:S1"/>
    </sheetView>
  </sheetViews>
  <sheetFormatPr defaultRowHeight="12.75" x14ac:dyDescent="0.2"/>
  <cols>
    <col min="1" max="1" width="8.42578125" customWidth="1"/>
    <col min="2" max="2" width="8.28515625" customWidth="1"/>
    <col min="3" max="12" width="8.85546875" customWidth="1"/>
    <col min="13" max="15" width="8.7109375" customWidth="1"/>
    <col min="16" max="19" width="8.85546875" customWidth="1"/>
  </cols>
  <sheetData>
    <row r="1" spans="1:19" ht="20.25" customHeight="1" thickTop="1" thickBot="1" x14ac:dyDescent="0.25">
      <c r="A1" s="1378" t="s">
        <v>855</v>
      </c>
      <c r="B1" s="1379"/>
      <c r="C1" s="1379"/>
      <c r="D1" s="1379"/>
      <c r="E1" s="1379"/>
      <c r="F1" s="1379"/>
      <c r="G1" s="1379"/>
      <c r="H1" s="1379"/>
      <c r="I1" s="1379"/>
      <c r="J1" s="1379"/>
      <c r="K1" s="1379"/>
      <c r="L1" s="1379"/>
      <c r="M1" s="1379"/>
      <c r="N1" s="1379"/>
      <c r="O1" s="1379"/>
      <c r="P1" s="1379"/>
      <c r="Q1" s="1379"/>
      <c r="R1" s="1379"/>
      <c r="S1" s="1380"/>
    </row>
    <row r="2" spans="1:19" ht="13.5" thickTop="1" x14ac:dyDescent="0.2">
      <c r="A2" s="1381" t="s">
        <v>856</v>
      </c>
      <c r="B2" s="1381"/>
      <c r="C2" s="1381"/>
      <c r="D2" s="1381"/>
      <c r="E2" s="1381"/>
      <c r="F2" s="1381"/>
      <c r="G2" s="1381"/>
      <c r="H2" s="1381"/>
      <c r="I2" s="1381"/>
      <c r="J2" s="1381"/>
      <c r="K2" s="1381"/>
      <c r="L2" s="1381"/>
      <c r="M2" s="1381"/>
      <c r="N2" s="1381"/>
      <c r="O2" s="1381"/>
      <c r="P2" s="1381"/>
      <c r="Q2" s="1381"/>
      <c r="R2" s="1381"/>
      <c r="S2" s="1381"/>
    </row>
    <row r="3" spans="1:19" s="1289" customFormat="1" ht="17.25" customHeight="1" x14ac:dyDescent="0.2">
      <c r="A3" s="1382" t="s">
        <v>857</v>
      </c>
      <c r="B3" s="1382" t="s">
        <v>858</v>
      </c>
      <c r="C3" s="1383" t="s">
        <v>859</v>
      </c>
      <c r="D3" s="1383"/>
      <c r="E3" s="1383"/>
      <c r="F3" s="1383"/>
      <c r="G3" s="1383"/>
      <c r="H3" s="1383"/>
      <c r="I3" s="1383"/>
      <c r="J3" s="1383"/>
      <c r="K3" s="1383"/>
      <c r="L3" s="1383"/>
      <c r="M3" s="1383"/>
      <c r="N3" s="1383"/>
      <c r="O3" s="1383"/>
      <c r="P3" s="1383"/>
      <c r="Q3" s="1383"/>
      <c r="R3" s="1383"/>
      <c r="S3" s="1383"/>
    </row>
    <row r="4" spans="1:19" x14ac:dyDescent="0.2">
      <c r="A4" s="1382"/>
      <c r="B4" s="1382"/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</row>
    <row r="5" spans="1:19" ht="12.75" customHeight="1" x14ac:dyDescent="0.2">
      <c r="A5" s="1382"/>
      <c r="B5" s="1382"/>
      <c r="C5" s="1290">
        <v>0.5</v>
      </c>
      <c r="D5" s="1290">
        <v>0.75</v>
      </c>
      <c r="E5" s="1291">
        <v>1</v>
      </c>
      <c r="F5" s="1290">
        <v>1.5</v>
      </c>
      <c r="G5" s="1291">
        <v>2</v>
      </c>
      <c r="H5" s="1290">
        <v>2.5</v>
      </c>
      <c r="I5" s="1291">
        <v>3</v>
      </c>
      <c r="J5" s="1291">
        <v>4</v>
      </c>
      <c r="K5" s="1291">
        <v>6</v>
      </c>
      <c r="L5" s="1291">
        <v>8</v>
      </c>
      <c r="M5" s="1291">
        <v>10</v>
      </c>
      <c r="N5" s="1291">
        <v>12</v>
      </c>
      <c r="O5" s="1291">
        <v>14</v>
      </c>
      <c r="P5" s="1292">
        <v>16</v>
      </c>
      <c r="Q5" s="1292">
        <v>18</v>
      </c>
      <c r="R5" s="1292">
        <v>20</v>
      </c>
      <c r="S5" s="1292">
        <v>24</v>
      </c>
    </row>
    <row r="6" spans="1:19" ht="12" customHeight="1" x14ac:dyDescent="0.2">
      <c r="A6" s="1293">
        <v>0.5</v>
      </c>
      <c r="B6" s="1294" t="s">
        <v>860</v>
      </c>
      <c r="C6" s="1295">
        <v>1.1875</v>
      </c>
      <c r="D6" s="1296"/>
      <c r="E6" s="1296"/>
      <c r="F6" s="1296"/>
      <c r="G6" s="1296"/>
      <c r="H6" s="1296"/>
      <c r="I6" s="1296"/>
      <c r="J6" s="1296"/>
      <c r="K6" s="1296"/>
      <c r="L6" s="1296"/>
      <c r="M6" s="1296"/>
      <c r="N6" s="1296"/>
      <c r="O6" s="1296"/>
      <c r="P6" s="1296"/>
      <c r="Q6" s="1296"/>
      <c r="R6" s="1296"/>
      <c r="S6" s="1296"/>
    </row>
    <row r="7" spans="1:19" ht="12" customHeight="1" x14ac:dyDescent="0.2">
      <c r="A7" s="1297"/>
      <c r="B7" s="1298" t="s">
        <v>861</v>
      </c>
      <c r="C7" s="1299">
        <v>1.1875</v>
      </c>
      <c r="D7" s="1300"/>
      <c r="E7" s="1300"/>
      <c r="F7" s="1300"/>
      <c r="G7" s="1300"/>
      <c r="H7" s="1300"/>
      <c r="I7" s="1300"/>
      <c r="J7" s="1300"/>
      <c r="K7" s="1300"/>
      <c r="L7" s="1300"/>
      <c r="M7" s="1300"/>
      <c r="N7" s="1300"/>
      <c r="O7" s="1300"/>
      <c r="P7" s="1300"/>
      <c r="Q7" s="1300"/>
      <c r="R7" s="1300"/>
      <c r="S7" s="1300"/>
    </row>
    <row r="8" spans="1:19" ht="12" customHeight="1" x14ac:dyDescent="0.2">
      <c r="A8" s="1297"/>
      <c r="B8" s="1301" t="s">
        <v>862</v>
      </c>
      <c r="C8" s="1302">
        <v>1.5</v>
      </c>
      <c r="D8" s="1300"/>
      <c r="E8" s="1300"/>
      <c r="F8" s="1300"/>
      <c r="G8" s="1300"/>
      <c r="H8" s="1300"/>
      <c r="I8" s="1300"/>
      <c r="J8" s="1300"/>
      <c r="K8" s="1300"/>
      <c r="L8" s="1300"/>
      <c r="M8" s="1300"/>
      <c r="N8" s="1300"/>
      <c r="O8" s="1300"/>
      <c r="P8" s="1300"/>
      <c r="Q8" s="1300"/>
      <c r="R8" s="1300"/>
      <c r="S8" s="1300"/>
    </row>
    <row r="9" spans="1:19" ht="12" customHeight="1" x14ac:dyDescent="0.2">
      <c r="A9" s="1290">
        <v>0.75</v>
      </c>
      <c r="B9" s="1303" t="s">
        <v>860</v>
      </c>
      <c r="C9" s="1304">
        <v>1.25</v>
      </c>
      <c r="D9" s="1305">
        <v>1.4375</v>
      </c>
      <c r="E9" s="1300"/>
      <c r="F9" s="1300"/>
      <c r="G9" s="1300"/>
      <c r="H9" s="1300"/>
      <c r="I9" s="1300"/>
      <c r="J9" s="1300"/>
      <c r="K9" s="1300"/>
      <c r="L9" s="1300"/>
      <c r="M9" s="1300"/>
      <c r="N9" s="1300"/>
      <c r="O9" s="1300"/>
      <c r="P9" s="1300"/>
      <c r="Q9" s="1300"/>
      <c r="R9" s="1300"/>
      <c r="S9" s="1300"/>
    </row>
    <row r="10" spans="1:19" ht="12" customHeight="1" x14ac:dyDescent="0.2">
      <c r="A10" s="1297"/>
      <c r="B10" s="1298" t="s">
        <v>861</v>
      </c>
      <c r="C10" s="1306">
        <v>1.25</v>
      </c>
      <c r="D10" s="1299">
        <v>1.4375</v>
      </c>
      <c r="E10" s="1300"/>
      <c r="F10" s="1300"/>
      <c r="G10" s="1300"/>
      <c r="H10" s="1300"/>
      <c r="I10" s="1300"/>
      <c r="J10" s="1300"/>
      <c r="K10" s="1300"/>
      <c r="L10" s="1300"/>
      <c r="M10" s="1300"/>
      <c r="N10" s="1300"/>
      <c r="O10" s="1300"/>
      <c r="P10" s="1300"/>
      <c r="Q10" s="1300"/>
      <c r="R10" s="1300"/>
      <c r="S10" s="1300"/>
    </row>
    <row r="11" spans="1:19" ht="12" customHeight="1" x14ac:dyDescent="0.2">
      <c r="A11" s="1297"/>
      <c r="B11" s="1301" t="s">
        <v>862</v>
      </c>
      <c r="C11" s="1302">
        <v>1.625</v>
      </c>
      <c r="D11" s="1302">
        <v>1.75</v>
      </c>
      <c r="E11" s="1300"/>
      <c r="F11" s="1300"/>
      <c r="G11" s="1300"/>
      <c r="H11" s="1300"/>
      <c r="I11" s="1300"/>
      <c r="J11" s="1300"/>
      <c r="K11" s="1300"/>
      <c r="L11" s="1300"/>
      <c r="M11" s="1300"/>
      <c r="N11" s="1300"/>
      <c r="O11" s="1300"/>
      <c r="P11" s="1300"/>
      <c r="Q11" s="1300"/>
      <c r="R11" s="1300"/>
      <c r="S11" s="1300"/>
    </row>
    <row r="12" spans="1:19" ht="12" customHeight="1" x14ac:dyDescent="0.2">
      <c r="A12" s="1290">
        <v>1</v>
      </c>
      <c r="B12" s="1303" t="s">
        <v>860</v>
      </c>
      <c r="C12" s="1304">
        <v>1.375</v>
      </c>
      <c r="D12" s="1304">
        <v>1.5</v>
      </c>
      <c r="E12" s="1305">
        <v>1.6875</v>
      </c>
      <c r="F12" s="1300"/>
      <c r="G12" s="1300"/>
      <c r="H12" s="1300"/>
      <c r="I12" s="1300"/>
      <c r="J12" s="1300"/>
      <c r="K12" s="1300"/>
      <c r="L12" s="1300"/>
      <c r="M12" s="1300"/>
      <c r="N12" s="1300"/>
      <c r="O12" s="1300"/>
      <c r="P12" s="1300"/>
      <c r="Q12" s="1300"/>
      <c r="R12" s="1300"/>
      <c r="S12" s="1300"/>
    </row>
    <row r="13" spans="1:19" ht="12" customHeight="1" x14ac:dyDescent="0.2">
      <c r="A13" s="1297"/>
      <c r="B13" s="1298" t="s">
        <v>861</v>
      </c>
      <c r="C13" s="1306">
        <v>1.375</v>
      </c>
      <c r="D13" s="1306">
        <v>1.5</v>
      </c>
      <c r="E13" s="1299">
        <v>1.6875</v>
      </c>
      <c r="F13" s="1300"/>
      <c r="G13" s="1300"/>
      <c r="H13" s="1300"/>
      <c r="I13" s="1300"/>
      <c r="J13" s="1300"/>
      <c r="K13" s="1300"/>
      <c r="L13" s="1300"/>
      <c r="M13" s="1300"/>
      <c r="N13" s="1300"/>
      <c r="O13" s="1300"/>
      <c r="P13" s="1300"/>
      <c r="Q13" s="1300"/>
      <c r="R13" s="1300"/>
      <c r="S13" s="1300"/>
    </row>
    <row r="14" spans="1:19" ht="12" customHeight="1" x14ac:dyDescent="0.2">
      <c r="A14" s="1297"/>
      <c r="B14" s="1301" t="s">
        <v>862</v>
      </c>
      <c r="C14" s="1302">
        <v>1.75</v>
      </c>
      <c r="D14" s="1302">
        <v>1.875</v>
      </c>
      <c r="E14" s="1302">
        <v>2.125</v>
      </c>
      <c r="F14" s="1300"/>
      <c r="G14" s="1300"/>
      <c r="H14" s="1300"/>
      <c r="I14" s="1300"/>
      <c r="J14" s="1300"/>
      <c r="K14" s="1300"/>
      <c r="L14" s="1300"/>
      <c r="M14" s="1300"/>
      <c r="N14" s="1300"/>
      <c r="O14" s="1300"/>
      <c r="P14" s="1300"/>
      <c r="Q14" s="1300"/>
      <c r="R14" s="1300"/>
      <c r="S14" s="1300"/>
    </row>
    <row r="15" spans="1:19" ht="12" customHeight="1" x14ac:dyDescent="0.2">
      <c r="A15" s="1290">
        <v>1.5</v>
      </c>
      <c r="B15" s="1303" t="s">
        <v>860</v>
      </c>
      <c r="C15" s="1305">
        <v>1.6875</v>
      </c>
      <c r="D15" s="1305">
        <v>1.8125</v>
      </c>
      <c r="E15" s="1303">
        <v>2</v>
      </c>
      <c r="F15" s="1304">
        <v>2.25</v>
      </c>
      <c r="G15" s="1300"/>
      <c r="H15" s="1300"/>
      <c r="I15" s="1300"/>
      <c r="J15" s="1300"/>
      <c r="K15" s="1300"/>
      <c r="L15" s="1300"/>
      <c r="M15" s="1300"/>
      <c r="N15" s="1300"/>
      <c r="O15" s="1300"/>
      <c r="P15" s="1300"/>
      <c r="Q15" s="1300"/>
      <c r="R15" s="1300"/>
      <c r="S15" s="1300"/>
    </row>
    <row r="16" spans="1:19" ht="12" customHeight="1" x14ac:dyDescent="0.2">
      <c r="A16" s="1297"/>
      <c r="B16" s="1298" t="s">
        <v>861</v>
      </c>
      <c r="C16" s="1299">
        <v>1.6875</v>
      </c>
      <c r="D16" s="1299">
        <v>1.8125</v>
      </c>
      <c r="E16" s="1298">
        <v>2</v>
      </c>
      <c r="F16" s="1306">
        <v>2.25</v>
      </c>
      <c r="G16" s="1300"/>
      <c r="H16" s="1300"/>
      <c r="I16" s="1300"/>
      <c r="J16" s="1300"/>
      <c r="K16" s="1300"/>
      <c r="L16" s="1300"/>
      <c r="M16" s="1300"/>
      <c r="N16" s="1300"/>
      <c r="O16" s="1300"/>
      <c r="P16" s="1300"/>
      <c r="Q16" s="1300"/>
      <c r="R16" s="1300"/>
      <c r="S16" s="1300"/>
    </row>
    <row r="17" spans="1:19" ht="12" customHeight="1" x14ac:dyDescent="0.2">
      <c r="A17" s="1297"/>
      <c r="B17" s="1301" t="s">
        <v>862</v>
      </c>
      <c r="C17" s="1307">
        <v>2.0625</v>
      </c>
      <c r="D17" s="1307">
        <v>2.1875</v>
      </c>
      <c r="E17" s="1307">
        <v>2.4375</v>
      </c>
      <c r="F17" s="1307">
        <v>2.9375</v>
      </c>
      <c r="G17" s="1300"/>
      <c r="H17" s="1300"/>
      <c r="I17" s="1300"/>
      <c r="J17" s="1300"/>
      <c r="K17" s="1300"/>
      <c r="L17" s="1300"/>
      <c r="M17" s="1300"/>
      <c r="N17" s="1300"/>
      <c r="O17" s="1300"/>
      <c r="P17" s="1300"/>
      <c r="Q17" s="1300"/>
      <c r="R17" s="1300"/>
      <c r="S17" s="1300"/>
    </row>
    <row r="18" spans="1:19" ht="12" customHeight="1" x14ac:dyDescent="0.2">
      <c r="A18" s="1290">
        <v>2</v>
      </c>
      <c r="B18" s="1303" t="s">
        <v>860</v>
      </c>
      <c r="C18" s="1305">
        <v>1.9375</v>
      </c>
      <c r="D18" s="1305">
        <v>2.0625</v>
      </c>
      <c r="E18" s="1304">
        <v>2.25</v>
      </c>
      <c r="F18" s="1304">
        <v>2.5</v>
      </c>
      <c r="G18" s="1304">
        <v>3.833333333333333</v>
      </c>
      <c r="H18" s="1300"/>
      <c r="I18" s="1300"/>
      <c r="J18" s="1300"/>
      <c r="K18" s="1300"/>
      <c r="L18" s="1300"/>
      <c r="M18" s="1300"/>
      <c r="N18" s="1300"/>
      <c r="O18" s="1300"/>
      <c r="P18" s="1300"/>
      <c r="Q18" s="1300"/>
      <c r="R18" s="1300"/>
      <c r="S18" s="1300"/>
    </row>
    <row r="19" spans="1:19" ht="12" customHeight="1" x14ac:dyDescent="0.2">
      <c r="A19" s="1297"/>
      <c r="B19" s="1298" t="s">
        <v>861</v>
      </c>
      <c r="C19" s="1299">
        <v>1.9375</v>
      </c>
      <c r="D19" s="1299">
        <v>2.0625</v>
      </c>
      <c r="E19" s="1306">
        <v>2.25</v>
      </c>
      <c r="F19" s="1306">
        <v>2.5</v>
      </c>
      <c r="G19" s="1299">
        <v>2.6875</v>
      </c>
      <c r="H19" s="1300"/>
      <c r="I19" s="1300"/>
      <c r="J19" s="1300"/>
      <c r="K19" s="1300"/>
      <c r="L19" s="1300"/>
      <c r="M19" s="1300"/>
      <c r="N19" s="1300"/>
      <c r="O19" s="1300"/>
      <c r="P19" s="1300"/>
      <c r="Q19" s="1300"/>
      <c r="R19" s="1300"/>
      <c r="S19" s="1300"/>
    </row>
    <row r="20" spans="1:19" ht="12" customHeight="1" x14ac:dyDescent="0.2">
      <c r="A20" s="1297"/>
      <c r="B20" s="1301" t="s">
        <v>862</v>
      </c>
      <c r="C20" s="1307">
        <v>2.3125</v>
      </c>
      <c r="D20" s="1307">
        <v>2.4375</v>
      </c>
      <c r="E20" s="1307">
        <v>2.6875</v>
      </c>
      <c r="F20" s="1307">
        <v>3.1875</v>
      </c>
      <c r="G20" s="1302">
        <v>3.375</v>
      </c>
      <c r="H20" s="1300"/>
      <c r="I20" s="1300"/>
      <c r="J20" s="1300"/>
      <c r="K20" s="1300"/>
      <c r="L20" s="1300"/>
      <c r="M20" s="1300"/>
      <c r="N20" s="1300"/>
      <c r="O20" s="1300"/>
      <c r="P20" s="1300"/>
      <c r="Q20" s="1300"/>
      <c r="R20" s="1300"/>
      <c r="S20" s="1300"/>
    </row>
    <row r="21" spans="1:19" ht="12" customHeight="1" x14ac:dyDescent="0.2">
      <c r="A21" s="1290">
        <v>2.5</v>
      </c>
      <c r="B21" s="1303" t="s">
        <v>860</v>
      </c>
      <c r="C21" s="1305">
        <v>2.1875</v>
      </c>
      <c r="D21" s="1305">
        <v>2.3125</v>
      </c>
      <c r="E21" s="1304">
        <v>2.5</v>
      </c>
      <c r="F21" s="1304">
        <v>2.75</v>
      </c>
      <c r="G21" s="1305">
        <v>2.9375</v>
      </c>
      <c r="H21" s="1305">
        <v>3.0625</v>
      </c>
      <c r="I21" s="1300"/>
      <c r="J21" s="1300"/>
      <c r="K21" s="1300"/>
      <c r="L21" s="1300"/>
      <c r="M21" s="1300"/>
      <c r="N21" s="1300"/>
      <c r="O21" s="1300"/>
      <c r="P21" s="1300"/>
      <c r="Q21" s="1300"/>
      <c r="R21" s="1300"/>
      <c r="S21" s="1300"/>
    </row>
    <row r="22" spans="1:19" ht="12" customHeight="1" x14ac:dyDescent="0.2">
      <c r="A22" s="1297"/>
      <c r="B22" s="1298" t="s">
        <v>861</v>
      </c>
      <c r="C22" s="1299">
        <v>2.1875</v>
      </c>
      <c r="D22" s="1299">
        <v>2.3125</v>
      </c>
      <c r="E22" s="1306">
        <v>2.5</v>
      </c>
      <c r="F22" s="1306">
        <v>2.75</v>
      </c>
      <c r="G22" s="1299">
        <v>2.9375</v>
      </c>
      <c r="H22" s="1299">
        <v>3.0625</v>
      </c>
      <c r="I22" s="1300"/>
      <c r="J22" s="1300"/>
      <c r="K22" s="1300"/>
      <c r="L22" s="1300"/>
      <c r="M22" s="1300"/>
      <c r="N22" s="1300"/>
      <c r="O22" s="1300"/>
      <c r="P22" s="1300"/>
      <c r="Q22" s="1300"/>
      <c r="R22" s="1300"/>
      <c r="S22" s="1300"/>
    </row>
    <row r="23" spans="1:19" ht="12" customHeight="1" x14ac:dyDescent="0.2">
      <c r="A23" s="1297"/>
      <c r="B23" s="1301" t="s">
        <v>862</v>
      </c>
      <c r="C23" s="1307">
        <v>2.5625</v>
      </c>
      <c r="D23" s="1307">
        <v>2.6875</v>
      </c>
      <c r="E23" s="1307">
        <v>2.9375</v>
      </c>
      <c r="F23" s="1307">
        <v>3.4375</v>
      </c>
      <c r="G23" s="1302">
        <v>3.625</v>
      </c>
      <c r="H23" s="1302">
        <v>3.875</v>
      </c>
      <c r="I23" s="1300"/>
      <c r="J23" s="1300"/>
      <c r="K23" s="1300"/>
      <c r="L23" s="1300"/>
      <c r="M23" s="1300"/>
      <c r="N23" s="1300"/>
      <c r="O23" s="1300"/>
      <c r="P23" s="1300"/>
      <c r="Q23" s="1300"/>
      <c r="R23" s="1300"/>
      <c r="S23" s="1300"/>
    </row>
    <row r="24" spans="1:19" ht="12" customHeight="1" x14ac:dyDescent="0.2">
      <c r="A24" s="1290">
        <v>3</v>
      </c>
      <c r="B24" s="1303" t="s">
        <v>860</v>
      </c>
      <c r="C24" s="1304">
        <v>2.5</v>
      </c>
      <c r="D24" s="1304">
        <v>2.625</v>
      </c>
      <c r="E24" s="1305">
        <v>2.8125</v>
      </c>
      <c r="F24" s="1305">
        <v>3.0625</v>
      </c>
      <c r="G24" s="1304">
        <v>3.25</v>
      </c>
      <c r="H24" s="1304">
        <v>3.375</v>
      </c>
      <c r="I24" s="1304">
        <v>3.5</v>
      </c>
      <c r="J24" s="1300"/>
      <c r="K24" s="1300"/>
      <c r="L24" s="1300"/>
      <c r="M24" s="1300"/>
      <c r="N24" s="1300"/>
      <c r="O24" s="1300"/>
      <c r="P24" s="1300"/>
      <c r="Q24" s="1300"/>
      <c r="R24" s="1300"/>
      <c r="S24" s="1300"/>
    </row>
    <row r="25" spans="1:19" ht="12" customHeight="1" x14ac:dyDescent="0.2">
      <c r="A25" s="1297"/>
      <c r="B25" s="1298" t="s">
        <v>861</v>
      </c>
      <c r="C25" s="1306">
        <v>2.5</v>
      </c>
      <c r="D25" s="1306">
        <v>2.625</v>
      </c>
      <c r="E25" s="1299">
        <v>2.8125</v>
      </c>
      <c r="F25" s="1299">
        <v>3.0625</v>
      </c>
      <c r="G25" s="1306">
        <v>3.25</v>
      </c>
      <c r="H25" s="1306">
        <v>3.375</v>
      </c>
      <c r="I25" s="1306">
        <v>3.5</v>
      </c>
      <c r="J25" s="1300"/>
      <c r="K25" s="1300"/>
      <c r="L25" s="1300"/>
      <c r="M25" s="1300"/>
      <c r="N25" s="1300"/>
      <c r="O25" s="1300"/>
      <c r="P25" s="1300"/>
      <c r="Q25" s="1300"/>
      <c r="R25" s="1300"/>
      <c r="S25" s="1300"/>
    </row>
    <row r="26" spans="1:19" ht="12" customHeight="1" x14ac:dyDescent="0.2">
      <c r="A26" s="1297"/>
      <c r="B26" s="1301" t="s">
        <v>862</v>
      </c>
      <c r="C26" s="1302">
        <v>2.875</v>
      </c>
      <c r="D26" s="1301">
        <v>3</v>
      </c>
      <c r="E26" s="1302">
        <v>3.25</v>
      </c>
      <c r="F26" s="1302">
        <v>3.75</v>
      </c>
      <c r="G26" s="1307">
        <v>3.9375</v>
      </c>
      <c r="H26" s="1307">
        <v>4.1875</v>
      </c>
      <c r="I26" s="1302">
        <v>4.625</v>
      </c>
      <c r="J26" s="1300"/>
      <c r="K26" s="1300"/>
      <c r="L26" s="1300"/>
      <c r="M26" s="1300"/>
      <c r="N26" s="1300"/>
      <c r="O26" s="1300"/>
      <c r="P26" s="1300"/>
      <c r="Q26" s="1300"/>
      <c r="R26" s="1300"/>
      <c r="S26" s="1300"/>
    </row>
    <row r="27" spans="1:19" ht="12" customHeight="1" x14ac:dyDescent="0.2">
      <c r="A27" s="1290">
        <v>4</v>
      </c>
      <c r="B27" s="1303" t="s">
        <v>860</v>
      </c>
      <c r="C27" s="1303">
        <v>3</v>
      </c>
      <c r="D27" s="1304">
        <v>3.125</v>
      </c>
      <c r="E27" s="1305">
        <v>3.3125</v>
      </c>
      <c r="F27" s="1305">
        <v>3.5625</v>
      </c>
      <c r="G27" s="1304">
        <v>3.75</v>
      </c>
      <c r="H27" s="1304">
        <v>3.875</v>
      </c>
      <c r="I27" s="1303">
        <v>4</v>
      </c>
      <c r="J27" s="1304">
        <v>4.25</v>
      </c>
      <c r="K27" s="1300"/>
      <c r="L27" s="1300"/>
      <c r="M27" s="1300"/>
      <c r="N27" s="1300"/>
      <c r="O27" s="1300"/>
      <c r="P27" s="1300"/>
      <c r="Q27" s="1300"/>
      <c r="R27" s="1300"/>
      <c r="S27" s="1300"/>
    </row>
    <row r="28" spans="1:19" ht="12" customHeight="1" x14ac:dyDescent="0.2">
      <c r="A28" s="1297"/>
      <c r="B28" s="1298" t="s">
        <v>861</v>
      </c>
      <c r="C28" s="1298">
        <v>3</v>
      </c>
      <c r="D28" s="1306">
        <v>3.125</v>
      </c>
      <c r="E28" s="1299">
        <v>3.3125</v>
      </c>
      <c r="F28" s="1299">
        <v>3.5625</v>
      </c>
      <c r="G28" s="1306">
        <v>3.75</v>
      </c>
      <c r="H28" s="1306">
        <v>3.875</v>
      </c>
      <c r="I28" s="1298">
        <v>4</v>
      </c>
      <c r="J28" s="1306">
        <v>4.25</v>
      </c>
      <c r="K28" s="1300"/>
      <c r="L28" s="1300"/>
      <c r="M28" s="1300"/>
      <c r="N28" s="1300"/>
      <c r="O28" s="1300"/>
      <c r="P28" s="1300"/>
      <c r="Q28" s="1300"/>
      <c r="R28" s="1300"/>
      <c r="S28" s="1300"/>
    </row>
    <row r="29" spans="1:19" ht="12" customHeight="1" x14ac:dyDescent="0.2">
      <c r="A29" s="1297"/>
      <c r="B29" s="1301" t="s">
        <v>862</v>
      </c>
      <c r="C29" s="1302">
        <v>3.375</v>
      </c>
      <c r="D29" s="1302">
        <v>3.5</v>
      </c>
      <c r="E29" s="1302">
        <v>3.75</v>
      </c>
      <c r="F29" s="1302">
        <v>4.25</v>
      </c>
      <c r="G29" s="1307">
        <v>4.4375</v>
      </c>
      <c r="H29" s="1307">
        <v>4.6875</v>
      </c>
      <c r="I29" s="1302">
        <v>5.125</v>
      </c>
      <c r="J29" s="1307">
        <v>5.5625</v>
      </c>
      <c r="K29" s="1300"/>
      <c r="L29" s="1300"/>
      <c r="M29" s="1300"/>
      <c r="N29" s="1300"/>
      <c r="O29" s="1300"/>
      <c r="P29" s="1300"/>
      <c r="Q29" s="1300"/>
      <c r="R29" s="1300"/>
      <c r="S29" s="1300"/>
    </row>
    <row r="30" spans="1:19" ht="12" customHeight="1" x14ac:dyDescent="0.2">
      <c r="A30" s="1290">
        <v>6</v>
      </c>
      <c r="B30" s="1303" t="s">
        <v>860</v>
      </c>
      <c r="C30" s="1305">
        <v>4.0625</v>
      </c>
      <c r="D30" s="1305">
        <v>4.1875</v>
      </c>
      <c r="E30" s="1304">
        <v>4.375</v>
      </c>
      <c r="F30" s="1304">
        <v>4.625</v>
      </c>
      <c r="G30" s="1305">
        <v>4.8125</v>
      </c>
      <c r="H30" s="1305">
        <v>4.9375</v>
      </c>
      <c r="I30" s="1305">
        <v>5.0625</v>
      </c>
      <c r="J30" s="1305">
        <v>5.3125</v>
      </c>
      <c r="K30" s="1305">
        <v>5.6875</v>
      </c>
      <c r="L30" s="1300"/>
      <c r="M30" s="1300"/>
      <c r="N30" s="1300"/>
      <c r="O30" s="1300"/>
      <c r="P30" s="1300"/>
      <c r="Q30" s="1300"/>
      <c r="R30" s="1300"/>
      <c r="S30" s="1300"/>
    </row>
    <row r="31" spans="1:19" ht="12" customHeight="1" x14ac:dyDescent="0.2">
      <c r="A31" s="1297"/>
      <c r="B31" s="1298" t="s">
        <v>861</v>
      </c>
      <c r="C31" s="1299">
        <v>4.0625</v>
      </c>
      <c r="D31" s="1299">
        <v>4.1875</v>
      </c>
      <c r="E31" s="1306">
        <v>4.375</v>
      </c>
      <c r="F31" s="1306">
        <v>4.625</v>
      </c>
      <c r="G31" s="1299">
        <v>4.8125</v>
      </c>
      <c r="H31" s="1299">
        <v>4.9375</v>
      </c>
      <c r="I31" s="1299">
        <v>5.0625</v>
      </c>
      <c r="J31" s="1299">
        <v>5.3125</v>
      </c>
      <c r="K31" s="1306">
        <v>6.375</v>
      </c>
      <c r="L31" s="1300"/>
      <c r="M31" s="1300"/>
      <c r="N31" s="1300"/>
      <c r="O31" s="1300"/>
      <c r="P31" s="1300"/>
      <c r="Q31" s="1300"/>
      <c r="R31" s="1300"/>
      <c r="S31" s="1300"/>
    </row>
    <row r="32" spans="1:19" ht="12" customHeight="1" x14ac:dyDescent="0.2">
      <c r="A32" s="1297"/>
      <c r="B32" s="1301" t="s">
        <v>862</v>
      </c>
      <c r="C32" s="1307">
        <v>4.4375</v>
      </c>
      <c r="D32" s="1307">
        <v>4.5625</v>
      </c>
      <c r="E32" s="1307">
        <v>4.8125</v>
      </c>
      <c r="F32" s="1307">
        <v>5.3125</v>
      </c>
      <c r="G32" s="1302">
        <v>5.5</v>
      </c>
      <c r="H32" s="1302">
        <v>5.75</v>
      </c>
      <c r="I32" s="1307">
        <v>6.1875</v>
      </c>
      <c r="J32" s="1302">
        <v>6.625</v>
      </c>
      <c r="K32" s="1307">
        <v>7.4375</v>
      </c>
      <c r="L32" s="1300"/>
      <c r="M32" s="1300"/>
      <c r="N32" s="1300"/>
      <c r="O32" s="1300"/>
      <c r="P32" s="1300"/>
      <c r="Q32" s="1300"/>
      <c r="R32" s="1300"/>
      <c r="S32" s="1300"/>
    </row>
    <row r="33" spans="1:19" ht="12" customHeight="1" x14ac:dyDescent="0.2">
      <c r="A33" s="1290">
        <v>8</v>
      </c>
      <c r="B33" s="1303" t="s">
        <v>860</v>
      </c>
      <c r="C33" s="1305">
        <v>5.0625</v>
      </c>
      <c r="D33" s="1305">
        <v>5.1875</v>
      </c>
      <c r="E33" s="1304">
        <v>5.375</v>
      </c>
      <c r="F33" s="1304">
        <v>5.625</v>
      </c>
      <c r="G33" s="1305">
        <v>5.8125</v>
      </c>
      <c r="H33" s="1305">
        <v>5.9375</v>
      </c>
      <c r="I33" s="1305">
        <v>6.0625</v>
      </c>
      <c r="J33" s="1305">
        <v>6.3125</v>
      </c>
      <c r="K33" s="1305">
        <v>6.6875</v>
      </c>
      <c r="L33" s="1305">
        <v>7.0625</v>
      </c>
      <c r="M33" s="1300"/>
      <c r="N33" s="1300"/>
      <c r="O33" s="1300"/>
      <c r="P33" s="1300"/>
      <c r="Q33" s="1300"/>
      <c r="R33" s="1300"/>
      <c r="S33" s="1300"/>
    </row>
    <row r="34" spans="1:19" ht="12" customHeight="1" x14ac:dyDescent="0.2">
      <c r="A34" s="1297"/>
      <c r="B34" s="1298" t="s">
        <v>861</v>
      </c>
      <c r="C34" s="1299">
        <v>5.0625</v>
      </c>
      <c r="D34" s="1299">
        <v>5.1875</v>
      </c>
      <c r="E34" s="1306">
        <v>5.375</v>
      </c>
      <c r="F34" s="1306">
        <v>5.625</v>
      </c>
      <c r="G34" s="1299">
        <v>5.8125</v>
      </c>
      <c r="H34" s="1299">
        <v>5.9375</v>
      </c>
      <c r="I34" s="1299">
        <v>6.0625</v>
      </c>
      <c r="J34" s="1299">
        <v>6.3125</v>
      </c>
      <c r="K34" s="1306">
        <v>7.375</v>
      </c>
      <c r="L34" s="1299">
        <v>8.1875</v>
      </c>
      <c r="M34" s="1300"/>
      <c r="N34" s="1300"/>
      <c r="O34" s="1300"/>
      <c r="P34" s="1300"/>
      <c r="Q34" s="1300"/>
      <c r="R34" s="1300"/>
      <c r="S34" s="1300"/>
    </row>
    <row r="35" spans="1:19" ht="12" customHeight="1" x14ac:dyDescent="0.2">
      <c r="A35" s="1297"/>
      <c r="B35" s="1301" t="s">
        <v>862</v>
      </c>
      <c r="C35" s="1301"/>
      <c r="D35" s="1301"/>
      <c r="E35" s="1301"/>
      <c r="F35" s="1301"/>
      <c r="G35" s="1302">
        <v>6.5</v>
      </c>
      <c r="H35" s="1302">
        <v>6.75</v>
      </c>
      <c r="I35" s="1307">
        <v>7.1875</v>
      </c>
      <c r="J35" s="1302">
        <v>7.625</v>
      </c>
      <c r="K35" s="1307">
        <v>8.4375</v>
      </c>
      <c r="L35" s="1308" t="s">
        <v>853</v>
      </c>
      <c r="M35" s="1300"/>
      <c r="N35" s="1300"/>
      <c r="O35" s="1300"/>
      <c r="P35" s="1300"/>
      <c r="Q35" s="1300"/>
      <c r="R35" s="1300"/>
      <c r="S35" s="1300"/>
    </row>
    <row r="36" spans="1:19" ht="12" customHeight="1" x14ac:dyDescent="0.2">
      <c r="A36" s="1290">
        <v>10</v>
      </c>
      <c r="B36" s="1303" t="s">
        <v>860</v>
      </c>
      <c r="C36" s="1304">
        <v>6.125</v>
      </c>
      <c r="D36" s="1304">
        <v>6.25</v>
      </c>
      <c r="E36" s="1305">
        <v>6.4375</v>
      </c>
      <c r="F36" s="1305">
        <v>6.6875</v>
      </c>
      <c r="G36" s="1304">
        <v>6.875</v>
      </c>
      <c r="H36" s="1303">
        <v>7</v>
      </c>
      <c r="I36" s="1304">
        <v>7.125</v>
      </c>
      <c r="J36" s="1304">
        <v>7.375</v>
      </c>
      <c r="K36" s="1304">
        <v>7.75</v>
      </c>
      <c r="L36" s="1304">
        <v>8.125</v>
      </c>
      <c r="M36" s="1305">
        <v>8.4375</v>
      </c>
      <c r="N36" s="1300"/>
      <c r="O36" s="1300"/>
      <c r="P36" s="1300"/>
      <c r="Q36" s="1300"/>
      <c r="R36" s="1300"/>
      <c r="S36" s="1300"/>
    </row>
    <row r="37" spans="1:19" ht="12" customHeight="1" x14ac:dyDescent="0.2">
      <c r="A37" s="1297"/>
      <c r="B37" s="1298" t="s">
        <v>861</v>
      </c>
      <c r="C37" s="1306">
        <v>6.125</v>
      </c>
      <c r="D37" s="1306">
        <v>6.25</v>
      </c>
      <c r="E37" s="1299">
        <v>6.4375</v>
      </c>
      <c r="F37" s="1299">
        <v>6.6875</v>
      </c>
      <c r="G37" s="1306">
        <v>6.875</v>
      </c>
      <c r="H37" s="1298">
        <v>7</v>
      </c>
      <c r="I37" s="1306">
        <v>7.125</v>
      </c>
      <c r="J37" s="1306">
        <v>7.375</v>
      </c>
      <c r="K37" s="1299">
        <v>8.4375</v>
      </c>
      <c r="L37" s="1306">
        <v>9.25</v>
      </c>
      <c r="M37" s="1306">
        <v>9.125</v>
      </c>
      <c r="N37" s="1300"/>
      <c r="O37" s="1300"/>
      <c r="P37" s="1300"/>
      <c r="Q37" s="1300"/>
      <c r="R37" s="1300"/>
      <c r="S37" s="1300"/>
    </row>
    <row r="38" spans="1:19" ht="12" customHeight="1" x14ac:dyDescent="0.2">
      <c r="A38" s="1297"/>
      <c r="B38" s="1301" t="s">
        <v>862</v>
      </c>
      <c r="C38" s="1301"/>
      <c r="D38" s="1301"/>
      <c r="E38" s="1309"/>
      <c r="F38" s="1301"/>
      <c r="G38" s="1307">
        <v>7.5625</v>
      </c>
      <c r="H38" s="1307">
        <v>7.8125</v>
      </c>
      <c r="I38" s="1302">
        <v>8.25</v>
      </c>
      <c r="J38" s="1307">
        <v>8.6875</v>
      </c>
      <c r="K38" s="1302">
        <v>9.5</v>
      </c>
      <c r="L38" s="1308" t="s">
        <v>853</v>
      </c>
      <c r="M38" s="1308" t="s">
        <v>853</v>
      </c>
      <c r="N38" s="1300"/>
      <c r="O38" s="1300"/>
      <c r="P38" s="1300"/>
      <c r="Q38" s="1300"/>
      <c r="R38" s="1300"/>
      <c r="S38" s="1300"/>
    </row>
    <row r="39" spans="1:19" ht="12" customHeight="1" x14ac:dyDescent="0.2">
      <c r="A39" s="1290">
        <v>12</v>
      </c>
      <c r="B39" s="1303" t="s">
        <v>860</v>
      </c>
      <c r="C39" s="1304">
        <v>7.125</v>
      </c>
      <c r="D39" s="1304">
        <v>7.25</v>
      </c>
      <c r="E39" s="1305">
        <v>7.4375</v>
      </c>
      <c r="F39" s="1305">
        <v>7.6875</v>
      </c>
      <c r="G39" s="1304">
        <v>7.875</v>
      </c>
      <c r="H39" s="1303">
        <v>8</v>
      </c>
      <c r="I39" s="1304">
        <v>8.125</v>
      </c>
      <c r="J39" s="1304">
        <v>8.375</v>
      </c>
      <c r="K39" s="1304">
        <v>8.75</v>
      </c>
      <c r="L39" s="1304">
        <v>9.125</v>
      </c>
      <c r="M39" s="1305">
        <v>9.4375</v>
      </c>
      <c r="N39" s="1304">
        <v>9.75</v>
      </c>
      <c r="O39" s="1300"/>
      <c r="P39" s="1300"/>
      <c r="Q39" s="1300"/>
      <c r="R39" s="1300"/>
      <c r="S39" s="1300"/>
    </row>
    <row r="40" spans="1:19" ht="12" customHeight="1" x14ac:dyDescent="0.2">
      <c r="A40" s="1297"/>
      <c r="B40" s="1298" t="s">
        <v>861</v>
      </c>
      <c r="C40" s="1306">
        <v>7.125</v>
      </c>
      <c r="D40" s="1306">
        <v>7.25</v>
      </c>
      <c r="E40" s="1299">
        <v>7.4375</v>
      </c>
      <c r="F40" s="1299">
        <v>7.6875</v>
      </c>
      <c r="G40" s="1306">
        <v>7.875</v>
      </c>
      <c r="H40" s="1298">
        <v>8</v>
      </c>
      <c r="I40" s="1306">
        <v>8.125</v>
      </c>
      <c r="J40" s="1306">
        <v>8.375</v>
      </c>
      <c r="K40" s="1299">
        <v>9.4375</v>
      </c>
      <c r="L40" s="1306">
        <v>10.25</v>
      </c>
      <c r="M40" s="1299">
        <v>10.0625</v>
      </c>
      <c r="N40" s="1299">
        <v>10.3125</v>
      </c>
      <c r="O40" s="1300"/>
      <c r="P40" s="1300"/>
      <c r="Q40" s="1300"/>
      <c r="R40" s="1300"/>
      <c r="S40" s="1300"/>
    </row>
    <row r="41" spans="1:19" ht="12" customHeight="1" x14ac:dyDescent="0.2">
      <c r="A41" s="1297"/>
      <c r="B41" s="1301" t="s">
        <v>862</v>
      </c>
      <c r="C41" s="1301"/>
      <c r="D41" s="1301"/>
      <c r="E41" s="1301"/>
      <c r="F41" s="1301"/>
      <c r="G41" s="1307">
        <v>8.5625</v>
      </c>
      <c r="H41" s="1307">
        <v>8.8125</v>
      </c>
      <c r="I41" s="1302">
        <v>9.25</v>
      </c>
      <c r="J41" s="1307">
        <v>9.6875</v>
      </c>
      <c r="K41" s="1302">
        <v>10.5</v>
      </c>
      <c r="L41" s="1308" t="s">
        <v>853</v>
      </c>
      <c r="M41" s="1308" t="s">
        <v>853</v>
      </c>
      <c r="N41" s="1308" t="s">
        <v>853</v>
      </c>
      <c r="O41" s="1300"/>
      <c r="P41" s="1300"/>
      <c r="Q41" s="1300"/>
      <c r="R41" s="1300"/>
      <c r="S41" s="1300"/>
    </row>
    <row r="42" spans="1:19" ht="12" customHeight="1" x14ac:dyDescent="0.2">
      <c r="A42" s="1290">
        <v>14</v>
      </c>
      <c r="B42" s="1303" t="s">
        <v>860</v>
      </c>
      <c r="C42" s="1304">
        <v>7.75</v>
      </c>
      <c r="D42" s="1304">
        <v>7.875</v>
      </c>
      <c r="E42" s="1305">
        <v>8.0625</v>
      </c>
      <c r="F42" s="1305">
        <v>8.3125</v>
      </c>
      <c r="G42" s="1304">
        <v>8.5</v>
      </c>
      <c r="H42" s="1304">
        <v>8.625</v>
      </c>
      <c r="I42" s="1304">
        <v>8.75</v>
      </c>
      <c r="J42" s="1303">
        <v>9</v>
      </c>
      <c r="K42" s="1304">
        <v>9.375</v>
      </c>
      <c r="L42" s="1304">
        <v>9.75</v>
      </c>
      <c r="M42" s="1305">
        <v>10.0625</v>
      </c>
      <c r="N42" s="1304">
        <v>10.375</v>
      </c>
      <c r="O42" s="1304">
        <v>10.5</v>
      </c>
      <c r="P42" s="1300"/>
      <c r="Q42" s="1300"/>
      <c r="R42" s="1300"/>
      <c r="S42" s="1300"/>
    </row>
    <row r="43" spans="1:19" ht="12" customHeight="1" x14ac:dyDescent="0.2">
      <c r="A43" s="1297"/>
      <c r="B43" s="1298" t="s">
        <v>861</v>
      </c>
      <c r="C43" s="1306">
        <v>7.75</v>
      </c>
      <c r="D43" s="1306">
        <v>7.875</v>
      </c>
      <c r="E43" s="1299">
        <v>8.0625</v>
      </c>
      <c r="F43" s="1299">
        <v>8.3125</v>
      </c>
      <c r="G43" s="1306">
        <v>8.5</v>
      </c>
      <c r="H43" s="1306">
        <v>8.625</v>
      </c>
      <c r="I43" s="1306">
        <v>8.75</v>
      </c>
      <c r="J43" s="1298">
        <v>9</v>
      </c>
      <c r="K43" s="1299">
        <v>10.0625</v>
      </c>
      <c r="L43" s="1306">
        <v>10.875</v>
      </c>
      <c r="M43" s="1299">
        <v>10.6875</v>
      </c>
      <c r="N43" s="1299">
        <v>11.0625</v>
      </c>
      <c r="O43" s="1306">
        <v>11.125</v>
      </c>
      <c r="P43" s="1300"/>
      <c r="Q43" s="1300"/>
      <c r="R43" s="1300"/>
      <c r="S43" s="1300"/>
    </row>
    <row r="44" spans="1:19" ht="12" customHeight="1" x14ac:dyDescent="0.2">
      <c r="A44" s="1297"/>
      <c r="B44" s="1301" t="s">
        <v>862</v>
      </c>
      <c r="C44" s="1301"/>
      <c r="D44" s="1301"/>
      <c r="E44" s="1301"/>
      <c r="F44" s="1301"/>
      <c r="G44" s="1307">
        <v>9.1875</v>
      </c>
      <c r="H44" s="1307">
        <v>9.4375</v>
      </c>
      <c r="I44" s="1302">
        <v>9.875</v>
      </c>
      <c r="J44" s="1307">
        <v>10.3125</v>
      </c>
      <c r="K44" s="1302">
        <v>11.125</v>
      </c>
      <c r="L44" s="1308" t="s">
        <v>853</v>
      </c>
      <c r="M44" s="1308" t="s">
        <v>853</v>
      </c>
      <c r="N44" s="1308" t="s">
        <v>853</v>
      </c>
      <c r="O44" s="1308" t="s">
        <v>853</v>
      </c>
      <c r="P44" s="1300"/>
      <c r="Q44" s="1300"/>
      <c r="R44" s="1300"/>
      <c r="S44" s="1300"/>
    </row>
    <row r="45" spans="1:19" ht="12" customHeight="1" x14ac:dyDescent="0.2">
      <c r="A45" s="1290">
        <v>16</v>
      </c>
      <c r="B45" s="1303" t="s">
        <v>860</v>
      </c>
      <c r="C45" s="1304">
        <v>8.75</v>
      </c>
      <c r="D45" s="1304">
        <v>8.875</v>
      </c>
      <c r="E45" s="1305">
        <v>9.0625</v>
      </c>
      <c r="F45" s="1305">
        <v>9.3125</v>
      </c>
      <c r="G45" s="1304">
        <v>9.5</v>
      </c>
      <c r="H45" s="1304">
        <v>9.625</v>
      </c>
      <c r="I45" s="1304">
        <v>9.75</v>
      </c>
      <c r="J45" s="1303">
        <v>10</v>
      </c>
      <c r="K45" s="1304">
        <v>10.375</v>
      </c>
      <c r="L45" s="1304">
        <v>10.75</v>
      </c>
      <c r="M45" s="1305">
        <v>11.0625</v>
      </c>
      <c r="N45" s="1304">
        <v>11.375</v>
      </c>
      <c r="O45" s="1304">
        <v>11.5</v>
      </c>
      <c r="P45" s="1305">
        <v>11.6875</v>
      </c>
      <c r="Q45" s="1300"/>
      <c r="R45" s="1300"/>
      <c r="S45" s="1300"/>
    </row>
    <row r="46" spans="1:19" ht="12" customHeight="1" x14ac:dyDescent="0.2">
      <c r="A46" s="1297"/>
      <c r="B46" s="1298" t="s">
        <v>861</v>
      </c>
      <c r="C46" s="1306">
        <v>8.75</v>
      </c>
      <c r="D46" s="1306">
        <v>8.875</v>
      </c>
      <c r="E46" s="1299">
        <v>9.0625</v>
      </c>
      <c r="F46" s="1299">
        <v>9.3125</v>
      </c>
      <c r="G46" s="1306">
        <v>9.5</v>
      </c>
      <c r="H46" s="1306">
        <v>9.625</v>
      </c>
      <c r="I46" s="1306">
        <v>9.75</v>
      </c>
      <c r="J46" s="1298">
        <v>10</v>
      </c>
      <c r="K46" s="1299">
        <v>11.0625</v>
      </c>
      <c r="L46" s="1306">
        <v>11.875</v>
      </c>
      <c r="M46" s="1299">
        <v>11.6875</v>
      </c>
      <c r="N46" s="1299">
        <v>12.0625</v>
      </c>
      <c r="O46" s="1299">
        <v>11.9375</v>
      </c>
      <c r="P46" s="1299">
        <v>12.4375</v>
      </c>
      <c r="Q46" s="1300"/>
      <c r="R46" s="1300"/>
      <c r="S46" s="1300"/>
    </row>
    <row r="47" spans="1:19" ht="12" customHeight="1" x14ac:dyDescent="0.2">
      <c r="A47" s="1297"/>
      <c r="B47" s="1301" t="s">
        <v>862</v>
      </c>
      <c r="C47" s="1301"/>
      <c r="D47" s="1301"/>
      <c r="E47" s="1301"/>
      <c r="F47" s="1301"/>
      <c r="G47" s="1307">
        <v>10.1875</v>
      </c>
      <c r="H47" s="1307">
        <v>10.4375</v>
      </c>
      <c r="I47" s="1302">
        <v>10.875</v>
      </c>
      <c r="J47" s="1307">
        <v>11.3125</v>
      </c>
      <c r="K47" s="1302">
        <v>12.125</v>
      </c>
      <c r="L47" s="1308" t="s">
        <v>853</v>
      </c>
      <c r="M47" s="1308" t="s">
        <v>853</v>
      </c>
      <c r="N47" s="1308" t="s">
        <v>853</v>
      </c>
      <c r="O47" s="1308" t="s">
        <v>853</v>
      </c>
      <c r="P47" s="1308" t="s">
        <v>853</v>
      </c>
      <c r="Q47" s="1300"/>
      <c r="R47" s="1300"/>
      <c r="S47" s="1300"/>
    </row>
    <row r="48" spans="1:19" ht="12" customHeight="1" x14ac:dyDescent="0.2">
      <c r="A48" s="1290">
        <v>18</v>
      </c>
      <c r="B48" s="1303" t="s">
        <v>860</v>
      </c>
      <c r="C48" s="1304">
        <v>9.75</v>
      </c>
      <c r="D48" s="1304">
        <v>9.875</v>
      </c>
      <c r="E48" s="1305">
        <v>10.0625</v>
      </c>
      <c r="F48" s="1305">
        <v>10.3125</v>
      </c>
      <c r="G48" s="1304">
        <v>10.5</v>
      </c>
      <c r="H48" s="1304">
        <v>10.625</v>
      </c>
      <c r="I48" s="1304">
        <v>10.75</v>
      </c>
      <c r="J48" s="1303">
        <v>11</v>
      </c>
      <c r="K48" s="1304">
        <v>11.375</v>
      </c>
      <c r="L48" s="1304">
        <v>11.75</v>
      </c>
      <c r="M48" s="1305">
        <v>12.0625</v>
      </c>
      <c r="N48" s="1304">
        <v>12.375</v>
      </c>
      <c r="O48" s="1304">
        <v>12.5</v>
      </c>
      <c r="P48" s="1305">
        <v>12.6875</v>
      </c>
      <c r="Q48" s="1305">
        <v>13.0625</v>
      </c>
      <c r="R48" s="1300"/>
      <c r="S48" s="1300"/>
    </row>
    <row r="49" spans="1:19" ht="12" customHeight="1" x14ac:dyDescent="0.2">
      <c r="A49" s="1297"/>
      <c r="B49" s="1298" t="s">
        <v>861</v>
      </c>
      <c r="C49" s="1306">
        <v>9.75</v>
      </c>
      <c r="D49" s="1306">
        <v>9.875</v>
      </c>
      <c r="E49" s="1299">
        <v>10.0625</v>
      </c>
      <c r="F49" s="1299">
        <v>10.3125</v>
      </c>
      <c r="G49" s="1306">
        <v>10.5</v>
      </c>
      <c r="H49" s="1306">
        <v>10.625</v>
      </c>
      <c r="I49" s="1306">
        <v>10.75</v>
      </c>
      <c r="J49" s="1298">
        <v>11</v>
      </c>
      <c r="K49" s="1299">
        <v>12.0625</v>
      </c>
      <c r="L49" s="1306">
        <v>12.875</v>
      </c>
      <c r="M49" s="1299">
        <v>12.6875</v>
      </c>
      <c r="N49" s="1299">
        <v>13.0625</v>
      </c>
      <c r="O49" s="1299">
        <v>12.9375</v>
      </c>
      <c r="P49" s="1299">
        <v>13.1875</v>
      </c>
      <c r="Q49" s="1299">
        <v>13.6875</v>
      </c>
      <c r="R49" s="1300"/>
      <c r="S49" s="1300"/>
    </row>
    <row r="50" spans="1:19" ht="12" customHeight="1" x14ac:dyDescent="0.2">
      <c r="A50" s="1297"/>
      <c r="B50" s="1301" t="s">
        <v>862</v>
      </c>
      <c r="C50" s="1301"/>
      <c r="D50" s="1301"/>
      <c r="E50" s="1309"/>
      <c r="F50" s="1301"/>
      <c r="G50" s="1307">
        <v>11.1875</v>
      </c>
      <c r="H50" s="1307">
        <v>11.4375</v>
      </c>
      <c r="I50" s="1302">
        <v>11.875</v>
      </c>
      <c r="J50" s="1307">
        <v>12.3125</v>
      </c>
      <c r="K50" s="1302">
        <v>13.125</v>
      </c>
      <c r="L50" s="1308" t="s">
        <v>853</v>
      </c>
      <c r="M50" s="1308" t="s">
        <v>853</v>
      </c>
      <c r="N50" s="1308" t="s">
        <v>853</v>
      </c>
      <c r="O50" s="1308" t="s">
        <v>853</v>
      </c>
      <c r="P50" s="1308" t="s">
        <v>853</v>
      </c>
      <c r="Q50" s="1308" t="s">
        <v>853</v>
      </c>
      <c r="R50" s="1300"/>
      <c r="S50" s="1300"/>
    </row>
    <row r="51" spans="1:19" ht="12" customHeight="1" x14ac:dyDescent="0.2">
      <c r="A51" s="1290">
        <v>20</v>
      </c>
      <c r="B51" s="1303" t="s">
        <v>860</v>
      </c>
      <c r="C51" s="1304">
        <v>10.75</v>
      </c>
      <c r="D51" s="1304">
        <v>10.875</v>
      </c>
      <c r="E51" s="1305">
        <v>11.0625</v>
      </c>
      <c r="F51" s="1305">
        <v>11.3125</v>
      </c>
      <c r="G51" s="1304">
        <v>11.5</v>
      </c>
      <c r="H51" s="1304">
        <v>11.625</v>
      </c>
      <c r="I51" s="1304">
        <v>11.75</v>
      </c>
      <c r="J51" s="1303">
        <v>12</v>
      </c>
      <c r="K51" s="1304">
        <v>12.375</v>
      </c>
      <c r="L51" s="1304">
        <v>12.75</v>
      </c>
      <c r="M51" s="1305">
        <v>13.0625</v>
      </c>
      <c r="N51" s="1304">
        <v>13.375</v>
      </c>
      <c r="O51" s="1304">
        <v>13.5</v>
      </c>
      <c r="P51" s="1305">
        <v>13.6875</v>
      </c>
      <c r="Q51" s="1305">
        <v>13.8125</v>
      </c>
      <c r="R51" s="1304">
        <v>14.625</v>
      </c>
      <c r="S51" s="1300"/>
    </row>
    <row r="52" spans="1:19" ht="12" customHeight="1" x14ac:dyDescent="0.2">
      <c r="A52" s="1297"/>
      <c r="B52" s="1298" t="s">
        <v>861</v>
      </c>
      <c r="C52" s="1306">
        <v>10.75</v>
      </c>
      <c r="D52" s="1306">
        <v>10.875</v>
      </c>
      <c r="E52" s="1299">
        <v>11.0625</v>
      </c>
      <c r="F52" s="1299">
        <v>11.3125</v>
      </c>
      <c r="G52" s="1306">
        <v>11.5</v>
      </c>
      <c r="H52" s="1306">
        <v>11.625</v>
      </c>
      <c r="I52" s="1306">
        <v>11.75</v>
      </c>
      <c r="J52" s="1298">
        <v>12</v>
      </c>
      <c r="K52" s="1299">
        <v>13.0625</v>
      </c>
      <c r="L52" s="1306">
        <v>13.875</v>
      </c>
      <c r="M52" s="1299">
        <v>13.6875</v>
      </c>
      <c r="N52" s="1299">
        <v>14.0625</v>
      </c>
      <c r="O52" s="1299">
        <v>13.9375</v>
      </c>
      <c r="P52" s="1299">
        <v>14.1875</v>
      </c>
      <c r="Q52" s="1306">
        <v>14.375</v>
      </c>
      <c r="R52" s="1298">
        <v>15</v>
      </c>
      <c r="S52" s="1300"/>
    </row>
    <row r="53" spans="1:19" ht="12" customHeight="1" x14ac:dyDescent="0.2">
      <c r="A53" s="1297"/>
      <c r="B53" s="1301" t="s">
        <v>862</v>
      </c>
      <c r="C53" s="1301"/>
      <c r="D53" s="1301"/>
      <c r="E53" s="1301"/>
      <c r="F53" s="1301"/>
      <c r="G53" s="1307">
        <v>12.1875</v>
      </c>
      <c r="H53" s="1307">
        <v>12.4375</v>
      </c>
      <c r="I53" s="1302">
        <v>12.875</v>
      </c>
      <c r="J53" s="1307">
        <v>13.3125</v>
      </c>
      <c r="K53" s="1302">
        <v>14.125</v>
      </c>
      <c r="L53" s="1308" t="s">
        <v>853</v>
      </c>
      <c r="M53" s="1308" t="s">
        <v>853</v>
      </c>
      <c r="N53" s="1308" t="s">
        <v>853</v>
      </c>
      <c r="O53" s="1308" t="s">
        <v>853</v>
      </c>
      <c r="P53" s="1308" t="s">
        <v>853</v>
      </c>
      <c r="Q53" s="1308" t="s">
        <v>853</v>
      </c>
      <c r="R53" s="1308" t="s">
        <v>853</v>
      </c>
      <c r="S53" s="1300"/>
    </row>
    <row r="54" spans="1:19" ht="12" customHeight="1" x14ac:dyDescent="0.2">
      <c r="A54" s="1290">
        <v>24</v>
      </c>
      <c r="B54" s="1303" t="s">
        <v>860</v>
      </c>
      <c r="C54" s="1304">
        <v>12.75</v>
      </c>
      <c r="D54" s="1304">
        <v>12.875</v>
      </c>
      <c r="E54" s="1305">
        <v>13.0625</v>
      </c>
      <c r="F54" s="1305">
        <v>13.3125</v>
      </c>
      <c r="G54" s="1304">
        <v>13.5</v>
      </c>
      <c r="H54" s="1304">
        <v>13.625</v>
      </c>
      <c r="I54" s="1304">
        <v>13.75</v>
      </c>
      <c r="J54" s="1303">
        <v>14</v>
      </c>
      <c r="K54" s="1304">
        <v>14.375</v>
      </c>
      <c r="L54" s="1304">
        <v>14.75</v>
      </c>
      <c r="M54" s="1305">
        <v>15.0625</v>
      </c>
      <c r="N54" s="1304">
        <v>15.375</v>
      </c>
      <c r="O54" s="1304">
        <v>15.5</v>
      </c>
      <c r="P54" s="1305">
        <v>15.6875</v>
      </c>
      <c r="Q54" s="1305">
        <v>15.8125</v>
      </c>
      <c r="R54" s="1303">
        <v>16</v>
      </c>
      <c r="S54" s="1304">
        <v>17.375</v>
      </c>
    </row>
    <row r="55" spans="1:19" ht="12" customHeight="1" x14ac:dyDescent="0.2">
      <c r="A55" s="1297"/>
      <c r="B55" s="1298" t="s">
        <v>861</v>
      </c>
      <c r="C55" s="1306">
        <v>12.75</v>
      </c>
      <c r="D55" s="1306">
        <v>12.875</v>
      </c>
      <c r="E55" s="1299">
        <v>13.0625</v>
      </c>
      <c r="F55" s="1299">
        <v>13.3125</v>
      </c>
      <c r="G55" s="1306">
        <v>13.5</v>
      </c>
      <c r="H55" s="1306">
        <v>13.625</v>
      </c>
      <c r="I55" s="1306">
        <v>13.75</v>
      </c>
      <c r="J55" s="1298">
        <v>14</v>
      </c>
      <c r="K55" s="1299">
        <v>15.0625</v>
      </c>
      <c r="L55" s="1306">
        <v>15.875</v>
      </c>
      <c r="M55" s="1299">
        <v>15.6875</v>
      </c>
      <c r="N55" s="1299">
        <v>16.0625</v>
      </c>
      <c r="O55" s="1299">
        <v>15.9375</v>
      </c>
      <c r="P55" s="1299">
        <v>16.1875</v>
      </c>
      <c r="Q55" s="1306">
        <v>16.375</v>
      </c>
      <c r="R55" s="1299">
        <v>16.6875</v>
      </c>
      <c r="S55" s="1306">
        <v>17.5</v>
      </c>
    </row>
    <row r="56" spans="1:19" ht="12" customHeight="1" x14ac:dyDescent="0.2">
      <c r="A56" s="1297"/>
      <c r="B56" s="1301" t="s">
        <v>862</v>
      </c>
      <c r="C56" s="1301"/>
      <c r="D56" s="1301"/>
      <c r="E56" s="1301"/>
      <c r="F56" s="1301"/>
      <c r="G56" s="1307">
        <v>14.1875</v>
      </c>
      <c r="H56" s="1307">
        <v>14.4375</v>
      </c>
      <c r="I56" s="1302">
        <v>14.875</v>
      </c>
      <c r="J56" s="1307">
        <v>15.3125</v>
      </c>
      <c r="K56" s="1302">
        <v>16.125</v>
      </c>
      <c r="L56" s="1308" t="s">
        <v>853</v>
      </c>
      <c r="M56" s="1308" t="s">
        <v>853</v>
      </c>
      <c r="N56" s="1308" t="s">
        <v>853</v>
      </c>
      <c r="O56" s="1308" t="s">
        <v>853</v>
      </c>
      <c r="P56" s="1308" t="s">
        <v>853</v>
      </c>
      <c r="Q56" s="1308" t="s">
        <v>853</v>
      </c>
      <c r="R56" s="1308" t="s">
        <v>853</v>
      </c>
      <c r="S56" s="1308" t="s">
        <v>853</v>
      </c>
    </row>
    <row r="57" spans="1:19" ht="12" customHeight="1" x14ac:dyDescent="0.2">
      <c r="A57" s="1287" t="s">
        <v>853</v>
      </c>
      <c r="B57" t="s">
        <v>863</v>
      </c>
    </row>
  </sheetData>
  <mergeCells count="5">
    <mergeCell ref="A1:S1"/>
    <mergeCell ref="A2:S2"/>
    <mergeCell ref="A3:A5"/>
    <mergeCell ref="B3:B5"/>
    <mergeCell ref="C3:S3"/>
  </mergeCells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37</vt:i4>
      </vt:variant>
    </vt:vector>
  </HeadingPairs>
  <TitlesOfParts>
    <vt:vector size="37" baseType="lpstr">
      <vt:lpstr>150 lb.</vt:lpstr>
      <vt:lpstr>300 lb.</vt:lpstr>
      <vt:lpstr>600 lb.</vt:lpstr>
      <vt:lpstr>900 lb.</vt:lpstr>
      <vt:lpstr>1500 lb.</vt:lpstr>
      <vt:lpstr>900 lb. RJT</vt:lpstr>
      <vt:lpstr>1500 lb. RJT</vt:lpstr>
      <vt:lpstr>Screwed Fittings</vt:lpstr>
      <vt:lpstr>Weld-o-Lets</vt:lpstr>
      <vt:lpstr>W Shapes</vt:lpstr>
      <vt:lpstr>M Shapes</vt:lpstr>
      <vt:lpstr>S Shapes</vt:lpstr>
      <vt:lpstr>HP Shapes</vt:lpstr>
      <vt:lpstr>Channels</vt:lpstr>
      <vt:lpstr>MC Channels</vt:lpstr>
      <vt:lpstr>Angles</vt:lpstr>
      <vt:lpstr>W Tees</vt:lpstr>
      <vt:lpstr>S Tees</vt:lpstr>
      <vt:lpstr>Tubing</vt:lpstr>
      <vt:lpstr>Grating</vt:lpstr>
      <vt:lpstr>Bolts</vt:lpstr>
      <vt:lpstr>Girder wt</vt:lpstr>
      <vt:lpstr>Weights</vt:lpstr>
      <vt:lpstr>Brace Formulas</vt:lpstr>
      <vt:lpstr>Rt. Triang.</vt:lpstr>
      <vt:lpstr>Oblique Triang.</vt:lpstr>
      <vt:lpstr>Adding Calculator</vt:lpstr>
      <vt:lpstr>Ladders</vt:lpstr>
      <vt:lpstr>Stairs</vt:lpstr>
      <vt:lpstr>Vessel Platf.</vt:lpstr>
      <vt:lpstr>Pipe Tables</vt:lpstr>
      <vt:lpstr>ELL. Head Dim</vt:lpstr>
      <vt:lpstr>Pipe Spans</vt:lpstr>
      <vt:lpstr>ELL's</vt:lpstr>
      <vt:lpstr>Tee's &amp; Reducers</vt:lpstr>
      <vt:lpstr>Flanges</vt:lpstr>
      <vt:lpstr>Flg Weights</vt:lpstr>
    </vt:vector>
  </TitlesOfParts>
  <Company>ABB Lummus Global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cEllis</dc:creator>
  <cp:lastModifiedBy>Smith, Alan V.</cp:lastModifiedBy>
  <cp:lastPrinted>1999-12-22T12:30:05Z</cp:lastPrinted>
  <dcterms:created xsi:type="dcterms:W3CDTF">1999-09-17T14:09:16Z</dcterms:created>
  <dcterms:modified xsi:type="dcterms:W3CDTF">2017-06-13T20:31:19Z</dcterms:modified>
</cp:coreProperties>
</file>